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ARCOS DG\Instru Serviço período anterior a 2019\"/>
    </mc:Choice>
  </mc:AlternateContent>
  <bookViews>
    <workbookView xWindow="0" yWindow="0" windowWidth="28800" windowHeight="11835"/>
  </bookViews>
  <sheets>
    <sheet name="ROTEIRO I" sheetId="2" r:id="rId1"/>
    <sheet name="ROTEIRO II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6" i="2"/>
  <c r="C17" i="2"/>
  <c r="C14" i="2"/>
  <c r="C21" i="2"/>
  <c r="C13" i="2"/>
  <c r="H52" i="2" l="1"/>
  <c r="H54" i="2"/>
  <c r="K14" i="3"/>
  <c r="K16" i="3"/>
  <c r="I15" i="3"/>
  <c r="K15" i="3" s="1"/>
  <c r="I14" i="3"/>
  <c r="I13" i="3"/>
  <c r="K13" i="3" s="1"/>
  <c r="I12" i="3"/>
  <c r="K12" i="3" s="1"/>
  <c r="I11" i="3"/>
  <c r="K11" i="3" s="1"/>
  <c r="I51" i="3" l="1"/>
  <c r="K51" i="3" s="1"/>
  <c r="I50" i="3"/>
  <c r="K50" i="3" s="1"/>
  <c r="I49" i="3"/>
  <c r="K49" i="3" s="1"/>
  <c r="K43" i="3"/>
  <c r="I42" i="3"/>
  <c r="K42" i="3" s="1"/>
  <c r="I41" i="3"/>
  <c r="K41" i="3" s="1"/>
  <c r="I29" i="3"/>
  <c r="K29" i="3" s="1"/>
  <c r="I28" i="3"/>
  <c r="K28" i="3" s="1"/>
  <c r="I27" i="3"/>
  <c r="K27" i="3" s="1"/>
  <c r="E94" i="2" l="1"/>
  <c r="E93" i="2"/>
  <c r="N85" i="2"/>
  <c r="M85" i="2"/>
  <c r="A84" i="2"/>
  <c r="A83" i="2"/>
  <c r="O54" i="2"/>
  <c r="O53" i="2"/>
  <c r="O52" i="2"/>
  <c r="O51" i="2"/>
  <c r="O50" i="2"/>
  <c r="C35" i="2"/>
  <c r="C34" i="2"/>
  <c r="C33" i="2"/>
  <c r="C25" i="2"/>
  <c r="C47" i="2" s="1"/>
  <c r="C24" i="2"/>
  <c r="C40" i="2" s="1"/>
  <c r="C23" i="2"/>
  <c r="C39" i="2" s="1"/>
  <c r="C22" i="2"/>
  <c r="C44" i="2" s="1"/>
  <c r="C43" i="2"/>
  <c r="I64" i="2" s="1"/>
  <c r="O85" i="2" l="1"/>
  <c r="C46" i="2"/>
  <c r="C45" i="2"/>
  <c r="N68" i="2"/>
  <c r="J68" i="2"/>
  <c r="F68" i="2"/>
  <c r="F80" i="2" s="1"/>
  <c r="N67" i="2"/>
  <c r="J67" i="2"/>
  <c r="F67" i="2"/>
  <c r="F79" i="2" s="1"/>
  <c r="N66" i="2"/>
  <c r="J66" i="2"/>
  <c r="F66" i="2"/>
  <c r="F78" i="2" s="1"/>
  <c r="N65" i="2"/>
  <c r="J65" i="2"/>
  <c r="F65" i="2"/>
  <c r="F77" i="2" s="1"/>
  <c r="N64" i="2"/>
  <c r="J64" i="2"/>
  <c r="F64" i="2"/>
  <c r="F76" i="2" s="1"/>
  <c r="M68" i="2"/>
  <c r="H68" i="2"/>
  <c r="H74" i="2" s="1"/>
  <c r="H80" i="2" s="1"/>
  <c r="C68" i="2"/>
  <c r="C80" i="2" s="1"/>
  <c r="I67" i="2"/>
  <c r="D67" i="2"/>
  <c r="D79" i="2" s="1"/>
  <c r="K66" i="2"/>
  <c r="E66" i="2"/>
  <c r="E78" i="2" s="1"/>
  <c r="L65" i="2"/>
  <c r="G65" i="2"/>
  <c r="G77" i="2" s="1"/>
  <c r="M64" i="2"/>
  <c r="H64" i="2"/>
  <c r="H70" i="2" s="1"/>
  <c r="H76" i="2" s="1"/>
  <c r="C64" i="2"/>
  <c r="C76" i="2" s="1"/>
  <c r="L68" i="2"/>
  <c r="G68" i="2"/>
  <c r="G80" i="2" s="1"/>
  <c r="M67" i="2"/>
  <c r="H67" i="2"/>
  <c r="H73" i="2" s="1"/>
  <c r="H79" i="2" s="1"/>
  <c r="C67" i="2"/>
  <c r="C79" i="2" s="1"/>
  <c r="I66" i="2"/>
  <c r="D66" i="2"/>
  <c r="D78" i="2" s="1"/>
  <c r="K65" i="2"/>
  <c r="E65" i="2"/>
  <c r="E77" i="2" s="1"/>
  <c r="L64" i="2"/>
  <c r="G64" i="2"/>
  <c r="G76" i="2" s="1"/>
  <c r="K68" i="2"/>
  <c r="E68" i="2"/>
  <c r="E80" i="2" s="1"/>
  <c r="L67" i="2"/>
  <c r="G67" i="2"/>
  <c r="G79" i="2" s="1"/>
  <c r="M66" i="2"/>
  <c r="H66" i="2"/>
  <c r="H72" i="2" s="1"/>
  <c r="H78" i="2" s="1"/>
  <c r="C66" i="2"/>
  <c r="C78" i="2" s="1"/>
  <c r="I65" i="2"/>
  <c r="D65" i="2"/>
  <c r="D77" i="2" s="1"/>
  <c r="K64" i="2"/>
  <c r="E64" i="2"/>
  <c r="E76" i="2" s="1"/>
  <c r="I68" i="2"/>
  <c r="D68" i="2"/>
  <c r="D80" i="2" s="1"/>
  <c r="K67" i="2"/>
  <c r="E67" i="2"/>
  <c r="E79" i="2" s="1"/>
  <c r="L66" i="2"/>
  <c r="G66" i="2"/>
  <c r="G78" i="2" s="1"/>
  <c r="M65" i="2"/>
  <c r="H65" i="2"/>
  <c r="H71" i="2" s="1"/>
  <c r="H77" i="2" s="1"/>
  <c r="C65" i="2"/>
  <c r="C77" i="2" s="1"/>
  <c r="D64" i="2"/>
  <c r="D76" i="2" s="1"/>
  <c r="C41" i="2"/>
  <c r="C37" i="2"/>
  <c r="I70" i="2" s="1"/>
  <c r="I76" i="2" s="1"/>
  <c r="C38" i="2"/>
  <c r="F90" i="2"/>
  <c r="I74" i="2" l="1"/>
  <c r="I80" i="2" s="1"/>
  <c r="I71" i="2"/>
  <c r="I77" i="2" s="1"/>
  <c r="J70" i="2"/>
  <c r="J76" i="2" s="1"/>
  <c r="J74" i="2"/>
  <c r="J80" i="2" s="1"/>
  <c r="J72" i="2"/>
  <c r="J78" i="2" s="1"/>
  <c r="I73" i="2"/>
  <c r="I79" i="2" s="1"/>
  <c r="J71" i="2"/>
  <c r="J77" i="2" s="1"/>
  <c r="I72" i="2"/>
  <c r="I78" i="2" s="1"/>
  <c r="J73" i="2"/>
  <c r="J79" i="2" s="1"/>
  <c r="L73" i="2"/>
  <c r="L79" i="2" s="1"/>
  <c r="L70" i="2"/>
  <c r="L76" i="2" s="1"/>
  <c r="M70" i="2"/>
  <c r="M76" i="2" s="1"/>
  <c r="K72" i="2"/>
  <c r="K78" i="2" s="1"/>
  <c r="N70" i="2"/>
  <c r="N76" i="2" s="1"/>
  <c r="N74" i="2"/>
  <c r="N80" i="2" s="1"/>
  <c r="M71" i="2"/>
  <c r="M77" i="2" s="1"/>
  <c r="K73" i="2"/>
  <c r="K79" i="2" s="1"/>
  <c r="K70" i="2"/>
  <c r="K76" i="2" s="1"/>
  <c r="L74" i="2"/>
  <c r="L80" i="2" s="1"/>
  <c r="M74" i="2"/>
  <c r="M80" i="2" s="1"/>
  <c r="N73" i="2"/>
  <c r="N79" i="2" s="1"/>
  <c r="L72" i="2"/>
  <c r="L78" i="2" s="1"/>
  <c r="M73" i="2"/>
  <c r="M79" i="2" s="1"/>
  <c r="N71" i="2"/>
  <c r="N77" i="2" s="1"/>
  <c r="M72" i="2"/>
  <c r="M78" i="2" s="1"/>
  <c r="K74" i="2"/>
  <c r="K80" i="2" s="1"/>
  <c r="K71" i="2"/>
  <c r="K77" i="2" s="1"/>
  <c r="L71" i="2"/>
  <c r="L77" i="2" s="1"/>
  <c r="N72" i="2"/>
  <c r="N78" i="2" s="1"/>
  <c r="N84" i="2"/>
  <c r="N83" i="2" s="1"/>
  <c r="J84" i="2"/>
  <c r="J83" i="2" s="1"/>
  <c r="F84" i="2"/>
  <c r="F83" i="2" s="1"/>
  <c r="M84" i="2"/>
  <c r="M83" i="2" s="1"/>
  <c r="I84" i="2"/>
  <c r="I83" i="2" s="1"/>
  <c r="E84" i="2"/>
  <c r="E83" i="2" s="1"/>
  <c r="L84" i="2"/>
  <c r="L83" i="2" s="1"/>
  <c r="H84" i="2"/>
  <c r="H83" i="2" s="1"/>
  <c r="D84" i="2"/>
  <c r="D83" i="2" s="1"/>
  <c r="K84" i="2"/>
  <c r="K83" i="2" s="1"/>
  <c r="G84" i="2"/>
  <c r="G83" i="2" s="1"/>
  <c r="C84" i="2"/>
  <c r="O80" i="2" l="1"/>
  <c r="O77" i="2"/>
  <c r="O79" i="2"/>
  <c r="O78" i="2"/>
  <c r="F89" i="2"/>
  <c r="F91" i="2" s="1"/>
  <c r="O76" i="2"/>
  <c r="C83" i="2"/>
  <c r="F95" i="2" s="1"/>
  <c r="O84" i="2"/>
  <c r="O81" i="2" l="1"/>
  <c r="O87" i="2" s="1"/>
  <c r="F97" i="2"/>
  <c r="C99" i="2" s="1"/>
  <c r="O83" i="2"/>
</calcChain>
</file>

<file path=xl/sharedStrings.xml><?xml version="1.0" encoding="utf-8"?>
<sst xmlns="http://schemas.openxmlformats.org/spreadsheetml/2006/main" count="270" uniqueCount="130">
  <si>
    <t>Unidade Gestora</t>
  </si>
  <si>
    <t>SEINFRA-BA</t>
  </si>
  <si>
    <t>Contrato</t>
  </si>
  <si>
    <t>Empresa (abreviado)</t>
  </si>
  <si>
    <t>Data Base</t>
  </si>
  <si>
    <t>Último reajuste</t>
  </si>
  <si>
    <t>ICMS BAHIA</t>
  </si>
  <si>
    <t>%</t>
  </si>
  <si>
    <t>BDI NORMAL</t>
  </si>
  <si>
    <t>BDI DIFERENCIADO</t>
  </si>
  <si>
    <t xml:space="preserve">ANP Julho/17 </t>
  </si>
  <si>
    <t>Preço Administração Pública - EAI - Data Base</t>
  </si>
  <si>
    <t>R$/kg</t>
  </si>
  <si>
    <t>Região Nordeste Distribuidor</t>
  </si>
  <si>
    <t>Preço Administração Pública - RC 1C  E - Data Base</t>
  </si>
  <si>
    <t>Preço Administração Pública - RR-1C Data Base</t>
  </si>
  <si>
    <t>Preço Administração Pública - RR-2C Data Base</t>
  </si>
  <si>
    <t>Preço Administração Pública -CAP  50/70 - Data Base</t>
  </si>
  <si>
    <t xml:space="preserve"> UF Bahia Distribuidor</t>
  </si>
  <si>
    <t>Desconto ofertado na licitação sobre preços ANP Nordeste</t>
  </si>
  <si>
    <t>Preço Contratual - EAI - Data Base</t>
  </si>
  <si>
    <t>Preço Contratual: obtido com aplicação de desconto</t>
  </si>
  <si>
    <t>Preço Contratual - RC 1C  E - Data Base</t>
  </si>
  <si>
    <t>Preço Contratual -  RR-1C Data Base</t>
  </si>
  <si>
    <t>Preço Contratual - RR-2C Data Base</t>
  </si>
  <si>
    <t>Preço Contratual - CAP  50/70 - Data Base</t>
  </si>
  <si>
    <t>Índice FGV - Asfalto Diluido - Data Base</t>
  </si>
  <si>
    <t>Índice FGV - Emulsões - Data Base</t>
  </si>
  <si>
    <t>Índice FGV - Cimento Asfaltico - Data Base</t>
  </si>
  <si>
    <t>Índice FGV - Asfalto Diluido - Última data de atualização</t>
  </si>
  <si>
    <t>Índice FGV - Emulsões - Última data de atualização</t>
  </si>
  <si>
    <t>Índice FGV - Cimento Asfaltico - Última data de atualização</t>
  </si>
  <si>
    <t>Fator de Reajustamento -Asfalto Diluido</t>
  </si>
  <si>
    <t>Fator de Reajustamento - Emulsões</t>
  </si>
  <si>
    <t>Fator de Reajustamento - Cimento Asfaltico</t>
  </si>
  <si>
    <t>Preço Contratual - EAI - Último Reaj.</t>
  </si>
  <si>
    <t>Preço Contratual - RC-1C E  - Último Reaj.</t>
  </si>
  <si>
    <t>Preço Contratual - RR-1C - Último Reaj.</t>
  </si>
  <si>
    <t>Preço Contratual - RR-2C - Último Reaj.</t>
  </si>
  <si>
    <t>Preço Contratual - CAP 50/70 - Último Reaj.</t>
  </si>
  <si>
    <t>Desconto EAI</t>
  </si>
  <si>
    <t>Desconto RC 1C E</t>
  </si>
  <si>
    <t>Desconto RR-2C</t>
  </si>
  <si>
    <t>Desconto RR-1C</t>
  </si>
  <si>
    <t>Desconto CAP 50/70</t>
  </si>
  <si>
    <t>QUANTIDADES UNITÁRIAS EXECUTADAS</t>
  </si>
  <si>
    <t>Total</t>
  </si>
  <si>
    <t>Aquisição EAI (exec. &amp; medido)</t>
  </si>
  <si>
    <t>t</t>
  </si>
  <si>
    <t>Aquisição RC 1C E (exec. &amp; medido)</t>
  </si>
  <si>
    <t>Aquisição RR-1C  (exec. &amp; medido)</t>
  </si>
  <si>
    <t>Aquisição RR-2C  (exec. &amp; medido)</t>
  </si>
  <si>
    <t>Aquisição CAP 50/70 (exec. &amp; medido)</t>
  </si>
  <si>
    <t>Preço ANP - Nordeste  - EAI</t>
  </si>
  <si>
    <t>Preço ANP - Nordeste  -RC 1C E</t>
  </si>
  <si>
    <t>Preço ANP - Nordeste - RR-1C</t>
  </si>
  <si>
    <t>Preço ANP - Nordeste - RR-2C</t>
  </si>
  <si>
    <t>Preço com ICMS + BDI + Desconto - EAI</t>
  </si>
  <si>
    <t>Preço com ICMS + BDI + Desconto - RC 1C E</t>
  </si>
  <si>
    <t>Preço com ICMS + BDI + Desconto -RR-1C</t>
  </si>
  <si>
    <t xml:space="preserve">Preço com ICMS + BDI + Desconto -RR-2C </t>
  </si>
  <si>
    <t>Preço com ICMS + BDI + Desconto - CAP 50/70</t>
  </si>
  <si>
    <t>Diferença acumulada Preço Data-Base - EAI</t>
  </si>
  <si>
    <t>Diferença acumulada Preço Data-Base - RC 1C E</t>
  </si>
  <si>
    <t>Diferença acumulada Preço Data-Base - RR 1C</t>
  </si>
  <si>
    <t xml:space="preserve">Diferença acumulada Preço Data-Base - RR 2C </t>
  </si>
  <si>
    <t>Diferença acumulada Preço Data-Base -CAP 50/70</t>
  </si>
  <si>
    <t>Impacto Financeiro -EAI</t>
  </si>
  <si>
    <t>R$</t>
  </si>
  <si>
    <t>Impacto Financeiro -RC 1 C E</t>
  </si>
  <si>
    <t>Impacto Financeiro - RR-1C</t>
  </si>
  <si>
    <t xml:space="preserve">Impacto Financeiro - RR-2C </t>
  </si>
  <si>
    <t>Impacto Financeiro - CAP 50/70</t>
  </si>
  <si>
    <t>Serviços Medidos (PI + R)</t>
  </si>
  <si>
    <t>Impacto Financeiro Janela de Observação</t>
  </si>
  <si>
    <t>Serviços Medidos Janela de Observação</t>
  </si>
  <si>
    <t>% Impacto Financerio Janela de Observação</t>
  </si>
  <si>
    <t>Lucro Operacional</t>
  </si>
  <si>
    <t>Impacto em função do acrésc. / Lucro Operacional</t>
  </si>
  <si>
    <t>XXX-CTYYY/2017</t>
  </si>
  <si>
    <t>CONSTRUIR</t>
  </si>
  <si>
    <t>Anivers. JUL/18</t>
  </si>
  <si>
    <t>ofertado na Licitação (16,0%) sobre preços ANP Nordeste</t>
  </si>
  <si>
    <t>com Reajuste.
Ocorre reajuste em julho/18 - período de 12 meses.</t>
  </si>
  <si>
    <t xml:space="preserve">LEVANTAMENTO DE QUANTIDADES DE MATERIAIS BETUMINOSOS </t>
  </si>
  <si>
    <t>MEDIÇÃO: JUNHO/2018</t>
  </si>
  <si>
    <t>SERVIÇO:</t>
  </si>
  <si>
    <t>RT+TSS+M2 - PISTA + ACOSTAMENTO</t>
  </si>
  <si>
    <t>UNIDADE:</t>
  </si>
  <si>
    <t>KM Faixa</t>
  </si>
  <si>
    <t>QTDE EXECUTADA:</t>
  </si>
  <si>
    <t>MATERIAS BETUMINOSOS POR SERVIÇO</t>
  </si>
  <si>
    <t>SERVIÇOS</t>
  </si>
  <si>
    <t>PRODUTO</t>
  </si>
  <si>
    <t>QTDE / KM Faixa</t>
  </si>
  <si>
    <t>TX APLICAÇÃO                                        (SICRO 2)</t>
  </si>
  <si>
    <t>QTDE / PRODUTO</t>
  </si>
  <si>
    <t>Imprimação</t>
  </si>
  <si>
    <t>m²</t>
  </si>
  <si>
    <t>ton/m²</t>
  </si>
  <si>
    <t>ton</t>
  </si>
  <si>
    <t>Tratamento Superficial Simples - TSS</t>
  </si>
  <si>
    <t>RR-2C</t>
  </si>
  <si>
    <t>Micro Revestimento à Frio Microflex 1,5 cm</t>
  </si>
  <si>
    <t>RC-1C E</t>
  </si>
  <si>
    <t>MEDIÇÃO: JULHO/2018</t>
  </si>
  <si>
    <t>RL+M2 - PISTA + ACOSTAMENTO</t>
  </si>
  <si>
    <t>Tapa buraco com CBUQ AC/BC</t>
  </si>
  <si>
    <t>CAP 50/70</t>
  </si>
  <si>
    <t>m³</t>
  </si>
  <si>
    <t>ton/m³</t>
  </si>
  <si>
    <t>Selagem de Trinca</t>
  </si>
  <si>
    <t>lt</t>
  </si>
  <si>
    <t>lt/km</t>
  </si>
  <si>
    <t>Preço ANP</t>
  </si>
  <si>
    <t xml:space="preserve">TRECHO: </t>
  </si>
  <si>
    <t>LOTE:</t>
  </si>
  <si>
    <t xml:space="preserve">LOTE: </t>
  </si>
  <si>
    <t>MEDIÇÃO: AGOSTO/2018</t>
  </si>
  <si>
    <t>EAI</t>
  </si>
  <si>
    <t>Preço ANP - UF Bahia- CAP 50/70</t>
  </si>
  <si>
    <t>RL+REP+M2</t>
  </si>
  <si>
    <t>Reperfilamento com CBUQ e=2cm</t>
  </si>
  <si>
    <t>Remendo profundo com demolição mecanizada</t>
  </si>
  <si>
    <t>RR-1C</t>
  </si>
  <si>
    <t>ton/lt</t>
  </si>
  <si>
    <t>período de observação  jun a dez 2018</t>
  </si>
  <si>
    <t>% Impacto Financeiro 7 meses</t>
  </si>
  <si>
    <t>OBRA: XXXXXXXXX - CÁLCULO DO DESEQUILÍBRIO - Variação Preços ANP</t>
  </si>
  <si>
    <t>Data: DD/MM/AAA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</si>
</sst>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0.0"/>
    <numFmt numFmtId="165" formatCode="0.00000"/>
    <numFmt numFmtId="166" formatCode="0.000"/>
    <numFmt numFmtId="167" formatCode="0.0000"/>
    <numFmt numFmtId="168" formatCode="_-* #,##0.000_-;\-* #,##0.000_-;_-* &quot;-&quot;??_-;_-@_-"/>
    <numFmt numFmtId="169" formatCode="#,##0.00000"/>
    <numFmt numFmtId="170" formatCode="0.00000_ ;[Red]\-0.00000\ "/>
    <numFmt numFmtId="171" formatCode="#,##0.00_ ;[Red]\-#,##0.00\ "/>
    <numFmt numFmtId="172" formatCode="_-* #,##0.00_-;\-* #,##0.00_-;_-* &quot;-&quot;?????_-;_-@_-"/>
    <numFmt numFmtId="173" formatCode="_-&quot;R$&quot;\ * #,##0.00_-;\-&quot;R$&quot;\ * #,##0.00_-;_-&quot;R$&quot;\ * &quot;-&quot;??_-;_-@_-"/>
    <numFmt numFmtId="174" formatCode="_-* #,##0.0000_-;\-* #,##0.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1" xfId="0" applyBorder="1"/>
    <xf numFmtId="17" fontId="0" fillId="0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0" fontId="2" fillId="0" borderId="0" xfId="0" applyNumberFormat="1" applyFont="1"/>
    <xf numFmtId="0" fontId="0" fillId="3" borderId="0" xfId="0" applyFill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66" fontId="0" fillId="0" borderId="0" xfId="0" applyNumberFormat="1" applyFill="1" applyBorder="1" applyAlignment="1">
      <alignment vertical="center"/>
    </xf>
    <xf numFmtId="17" fontId="6" fillId="0" borderId="0" xfId="0" applyNumberFormat="1" applyFont="1" applyFill="1" applyBorder="1" applyAlignment="1">
      <alignment horizontal="center" vertical="center" textRotation="90" wrapText="1"/>
    </xf>
    <xf numFmtId="165" fontId="0" fillId="4" borderId="1" xfId="0" applyNumberForma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7" fontId="0" fillId="4" borderId="1" xfId="0" applyNumberFormat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168" fontId="1" fillId="2" borderId="1" xfId="1" applyNumberFormat="1" applyFont="1" applyFill="1" applyBorder="1"/>
    <xf numFmtId="168" fontId="1" fillId="0" borderId="1" xfId="1" applyNumberFormat="1" applyFont="1" applyFill="1" applyBorder="1"/>
    <xf numFmtId="168" fontId="1" fillId="0" borderId="1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168" fontId="1" fillId="2" borderId="0" xfId="1" applyNumberFormat="1" applyFont="1" applyFill="1" applyBorder="1"/>
    <xf numFmtId="168" fontId="1" fillId="0" borderId="0" xfId="1" applyNumberFormat="1" applyFont="1" applyFill="1" applyBorder="1" applyAlignment="1">
      <alignment vertical="center"/>
    </xf>
    <xf numFmtId="168" fontId="1" fillId="0" borderId="0" xfId="1" applyNumberFormat="1" applyFont="1" applyFill="1" applyBorder="1"/>
    <xf numFmtId="165" fontId="4" fillId="2" borderId="1" xfId="0" applyNumberFormat="1" applyFont="1" applyFill="1" applyBorder="1" applyAlignment="1">
      <alignment horizontal="right" vertical="center"/>
    </xf>
    <xf numFmtId="169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right"/>
    </xf>
    <xf numFmtId="165" fontId="7" fillId="2" borderId="1" xfId="0" applyNumberFormat="1" applyFont="1" applyFill="1" applyBorder="1" applyAlignment="1">
      <alignment horizontal="right" vertical="center"/>
    </xf>
    <xf numFmtId="165" fontId="0" fillId="4" borderId="1" xfId="0" applyNumberFormat="1" applyFill="1" applyBorder="1"/>
    <xf numFmtId="170" fontId="0" fillId="4" borderId="1" xfId="0" applyNumberFormat="1" applyFill="1" applyBorder="1"/>
    <xf numFmtId="171" fontId="0" fillId="4" borderId="1" xfId="0" applyNumberFormat="1" applyFill="1" applyBorder="1"/>
    <xf numFmtId="172" fontId="0" fillId="4" borderId="1" xfId="0" applyNumberFormat="1" applyFill="1" applyBorder="1"/>
    <xf numFmtId="172" fontId="3" fillId="4" borderId="1" xfId="0" applyNumberFormat="1" applyFont="1" applyFill="1" applyBorder="1"/>
    <xf numFmtId="4" fontId="0" fillId="0" borderId="1" xfId="0" applyNumberFormat="1" applyFill="1" applyBorder="1"/>
    <xf numFmtId="4" fontId="3" fillId="4" borderId="1" xfId="0" applyNumberFormat="1" applyFont="1" applyFill="1" applyBorder="1"/>
    <xf numFmtId="4" fontId="0" fillId="6" borderId="1" xfId="0" applyNumberFormat="1" applyFill="1" applyBorder="1"/>
    <xf numFmtId="0" fontId="0" fillId="5" borderId="3" xfId="0" applyFill="1" applyBorder="1" applyAlignment="1">
      <alignment horizontal="centerContinuous" vertical="center"/>
    </xf>
    <xf numFmtId="0" fontId="0" fillId="5" borderId="4" xfId="0" applyFill="1" applyBorder="1" applyAlignment="1">
      <alignment horizontal="centerContinuous" vertical="center"/>
    </xf>
    <xf numFmtId="0" fontId="0" fillId="5" borderId="5" xfId="0" applyFill="1" applyBorder="1" applyAlignment="1">
      <alignment horizontal="centerContinuous" vertic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10" fontId="3" fillId="4" borderId="1" xfId="2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173" fontId="1" fillId="7" borderId="1" xfId="3" applyFont="1" applyFill="1" applyBorder="1"/>
    <xf numFmtId="0" fontId="0" fillId="0" borderId="0" xfId="0" applyAlignment="1">
      <alignment horizontal="right"/>
    </xf>
    <xf numFmtId="10" fontId="1" fillId="7" borderId="6" xfId="2" applyNumberFormat="1" applyFont="1" applyFill="1" applyBorder="1"/>
    <xf numFmtId="10" fontId="1" fillId="0" borderId="1" xfId="2" applyNumberFormat="1" applyFont="1" applyBorder="1"/>
    <xf numFmtId="10" fontId="1" fillId="7" borderId="6" xfId="3" applyNumberFormat="1" applyFont="1" applyFill="1" applyBorder="1"/>
    <xf numFmtId="0" fontId="8" fillId="0" borderId="5" xfId="0" applyFont="1" applyBorder="1" applyAlignment="1">
      <alignment horizontal="right"/>
    </xf>
    <xf numFmtId="10" fontId="1" fillId="7" borderId="1" xfId="2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Continuous"/>
    </xf>
    <xf numFmtId="0" fontId="0" fillId="8" borderId="4" xfId="0" applyFill="1" applyBorder="1" applyAlignment="1">
      <alignment horizontal="centerContinuous"/>
    </xf>
    <xf numFmtId="0" fontId="0" fillId="8" borderId="5" xfId="0" applyFill="1" applyBorder="1" applyAlignment="1">
      <alignment horizontal="centerContinuous"/>
    </xf>
    <xf numFmtId="0" fontId="3" fillId="0" borderId="0" xfId="0" applyFont="1" applyAlignment="1">
      <alignment vertical="center"/>
    </xf>
    <xf numFmtId="0" fontId="3" fillId="9" borderId="3" xfId="0" applyFont="1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3" fillId="9" borderId="4" xfId="0" applyFont="1" applyFill="1" applyBorder="1" applyAlignment="1">
      <alignment vertical="center"/>
    </xf>
    <xf numFmtId="166" fontId="0" fillId="9" borderId="5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3" fontId="1" fillId="0" borderId="3" xfId="1" applyFont="1" applyBorder="1" applyAlignment="1">
      <alignment vertical="center"/>
    </xf>
    <xf numFmtId="0" fontId="0" fillId="0" borderId="5" xfId="0" applyBorder="1" applyAlignment="1">
      <alignment vertical="center"/>
    </xf>
    <xf numFmtId="174" fontId="1" fillId="0" borderId="3" xfId="1" applyNumberFormat="1" applyFont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2" fontId="0" fillId="9" borderId="5" xfId="0" applyNumberFormat="1" applyFill="1" applyBorder="1" applyAlignment="1">
      <alignment horizontal="center" vertical="center"/>
    </xf>
    <xf numFmtId="174" fontId="1" fillId="0" borderId="3" xfId="1" applyNumberFormat="1" applyFont="1" applyFill="1" applyBorder="1" applyAlignment="1">
      <alignment vertical="center"/>
    </xf>
    <xf numFmtId="0" fontId="0" fillId="0" borderId="0" xfId="0" applyBorder="1"/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43" fontId="1" fillId="0" borderId="3" xfId="1" applyFont="1" applyFill="1" applyBorder="1" applyAlignment="1">
      <alignment vertical="center"/>
    </xf>
    <xf numFmtId="166" fontId="1" fillId="2" borderId="1" xfId="1" applyNumberFormat="1" applyFont="1" applyFill="1" applyBorder="1"/>
    <xf numFmtId="17" fontId="6" fillId="3" borderId="2" xfId="0" applyNumberFormat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9" borderId="4" xfId="0" applyFill="1" applyBorder="1" applyAlignment="1">
      <alignment horizontal="left" vertical="center"/>
    </xf>
    <xf numFmtId="0" fontId="3" fillId="9" borderId="4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2" fontId="2" fillId="4" borderId="1" xfId="0" applyNumberFormat="1" applyFont="1" applyFill="1" applyBorder="1"/>
  </cellXfs>
  <cellStyles count="4">
    <cellStyle name="Moeda 2" xfId="3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workbookViewId="0">
      <selection activeCell="E19" sqref="E19"/>
    </sheetView>
  </sheetViews>
  <sheetFormatPr defaultRowHeight="15" x14ac:dyDescent="0.25"/>
  <cols>
    <col min="1" max="1" width="47" customWidth="1"/>
    <col min="2" max="2" width="6" bestFit="1" customWidth="1"/>
    <col min="3" max="3" width="14.7109375" customWidth="1"/>
    <col min="4" max="4" width="13" customWidth="1"/>
    <col min="5" max="5" width="15.7109375" bestFit="1" customWidth="1"/>
    <col min="6" max="6" width="16.85546875" bestFit="1" customWidth="1"/>
    <col min="7" max="10" width="15.7109375" bestFit="1" customWidth="1"/>
    <col min="11" max="11" width="12.7109375" bestFit="1" customWidth="1"/>
    <col min="12" max="12" width="12.140625" customWidth="1"/>
    <col min="13" max="13" width="15.7109375" bestFit="1" customWidth="1"/>
    <col min="14" max="14" width="13.28515625" customWidth="1"/>
    <col min="15" max="15" width="13.28515625" bestFit="1" customWidth="1"/>
    <col min="256" max="256" width="47" customWidth="1"/>
    <col min="257" max="257" width="6" bestFit="1" customWidth="1"/>
    <col min="258" max="258" width="12.85546875" customWidth="1"/>
    <col min="259" max="259" width="13" customWidth="1"/>
    <col min="260" max="260" width="15.7109375" bestFit="1" customWidth="1"/>
    <col min="261" max="261" width="16.85546875" bestFit="1" customWidth="1"/>
    <col min="262" max="265" width="15.7109375" bestFit="1" customWidth="1"/>
    <col min="266" max="266" width="12.7109375" bestFit="1" customWidth="1"/>
    <col min="267" max="267" width="11.7109375" bestFit="1" customWidth="1"/>
    <col min="268" max="268" width="15.7109375" bestFit="1" customWidth="1"/>
    <col min="269" max="269" width="10.5703125" bestFit="1" customWidth="1"/>
    <col min="270" max="270" width="13.28515625" bestFit="1" customWidth="1"/>
    <col min="272" max="272" width="18" bestFit="1" customWidth="1"/>
    <col min="512" max="512" width="47" customWidth="1"/>
    <col min="513" max="513" width="6" bestFit="1" customWidth="1"/>
    <col min="514" max="514" width="12.85546875" customWidth="1"/>
    <col min="515" max="515" width="13" customWidth="1"/>
    <col min="516" max="516" width="15.7109375" bestFit="1" customWidth="1"/>
    <col min="517" max="517" width="16.85546875" bestFit="1" customWidth="1"/>
    <col min="518" max="521" width="15.7109375" bestFit="1" customWidth="1"/>
    <col min="522" max="522" width="12.7109375" bestFit="1" customWidth="1"/>
    <col min="523" max="523" width="11.7109375" bestFit="1" customWidth="1"/>
    <col min="524" max="524" width="15.7109375" bestFit="1" customWidth="1"/>
    <col min="525" max="525" width="10.5703125" bestFit="1" customWidth="1"/>
    <col min="526" max="526" width="13.28515625" bestFit="1" customWidth="1"/>
    <col min="528" max="528" width="18" bestFit="1" customWidth="1"/>
    <col min="768" max="768" width="47" customWidth="1"/>
    <col min="769" max="769" width="6" bestFit="1" customWidth="1"/>
    <col min="770" max="770" width="12.85546875" customWidth="1"/>
    <col min="771" max="771" width="13" customWidth="1"/>
    <col min="772" max="772" width="15.7109375" bestFit="1" customWidth="1"/>
    <col min="773" max="773" width="16.85546875" bestFit="1" customWidth="1"/>
    <col min="774" max="777" width="15.7109375" bestFit="1" customWidth="1"/>
    <col min="778" max="778" width="12.7109375" bestFit="1" customWidth="1"/>
    <col min="779" max="779" width="11.7109375" bestFit="1" customWidth="1"/>
    <col min="780" max="780" width="15.7109375" bestFit="1" customWidth="1"/>
    <col min="781" max="781" width="10.5703125" bestFit="1" customWidth="1"/>
    <col min="782" max="782" width="13.28515625" bestFit="1" customWidth="1"/>
    <col min="784" max="784" width="18" bestFit="1" customWidth="1"/>
    <col min="1024" max="1024" width="47" customWidth="1"/>
    <col min="1025" max="1025" width="6" bestFit="1" customWidth="1"/>
    <col min="1026" max="1026" width="12.85546875" customWidth="1"/>
    <col min="1027" max="1027" width="13" customWidth="1"/>
    <col min="1028" max="1028" width="15.7109375" bestFit="1" customWidth="1"/>
    <col min="1029" max="1029" width="16.85546875" bestFit="1" customWidth="1"/>
    <col min="1030" max="1033" width="15.7109375" bestFit="1" customWidth="1"/>
    <col min="1034" max="1034" width="12.7109375" bestFit="1" customWidth="1"/>
    <col min="1035" max="1035" width="11.7109375" bestFit="1" customWidth="1"/>
    <col min="1036" max="1036" width="15.7109375" bestFit="1" customWidth="1"/>
    <col min="1037" max="1037" width="10.5703125" bestFit="1" customWidth="1"/>
    <col min="1038" max="1038" width="13.28515625" bestFit="1" customWidth="1"/>
    <col min="1040" max="1040" width="18" bestFit="1" customWidth="1"/>
    <col min="1280" max="1280" width="47" customWidth="1"/>
    <col min="1281" max="1281" width="6" bestFit="1" customWidth="1"/>
    <col min="1282" max="1282" width="12.85546875" customWidth="1"/>
    <col min="1283" max="1283" width="13" customWidth="1"/>
    <col min="1284" max="1284" width="15.7109375" bestFit="1" customWidth="1"/>
    <col min="1285" max="1285" width="16.85546875" bestFit="1" customWidth="1"/>
    <col min="1286" max="1289" width="15.7109375" bestFit="1" customWidth="1"/>
    <col min="1290" max="1290" width="12.7109375" bestFit="1" customWidth="1"/>
    <col min="1291" max="1291" width="11.7109375" bestFit="1" customWidth="1"/>
    <col min="1292" max="1292" width="15.7109375" bestFit="1" customWidth="1"/>
    <col min="1293" max="1293" width="10.5703125" bestFit="1" customWidth="1"/>
    <col min="1294" max="1294" width="13.28515625" bestFit="1" customWidth="1"/>
    <col min="1296" max="1296" width="18" bestFit="1" customWidth="1"/>
    <col min="1536" max="1536" width="47" customWidth="1"/>
    <col min="1537" max="1537" width="6" bestFit="1" customWidth="1"/>
    <col min="1538" max="1538" width="12.85546875" customWidth="1"/>
    <col min="1539" max="1539" width="13" customWidth="1"/>
    <col min="1540" max="1540" width="15.7109375" bestFit="1" customWidth="1"/>
    <col min="1541" max="1541" width="16.85546875" bestFit="1" customWidth="1"/>
    <col min="1542" max="1545" width="15.7109375" bestFit="1" customWidth="1"/>
    <col min="1546" max="1546" width="12.7109375" bestFit="1" customWidth="1"/>
    <col min="1547" max="1547" width="11.7109375" bestFit="1" customWidth="1"/>
    <col min="1548" max="1548" width="15.7109375" bestFit="1" customWidth="1"/>
    <col min="1549" max="1549" width="10.5703125" bestFit="1" customWidth="1"/>
    <col min="1550" max="1550" width="13.28515625" bestFit="1" customWidth="1"/>
    <col min="1552" max="1552" width="18" bestFit="1" customWidth="1"/>
    <col min="1792" max="1792" width="47" customWidth="1"/>
    <col min="1793" max="1793" width="6" bestFit="1" customWidth="1"/>
    <col min="1794" max="1794" width="12.85546875" customWidth="1"/>
    <col min="1795" max="1795" width="13" customWidth="1"/>
    <col min="1796" max="1796" width="15.7109375" bestFit="1" customWidth="1"/>
    <col min="1797" max="1797" width="16.85546875" bestFit="1" customWidth="1"/>
    <col min="1798" max="1801" width="15.7109375" bestFit="1" customWidth="1"/>
    <col min="1802" max="1802" width="12.7109375" bestFit="1" customWidth="1"/>
    <col min="1803" max="1803" width="11.7109375" bestFit="1" customWidth="1"/>
    <col min="1804" max="1804" width="15.7109375" bestFit="1" customWidth="1"/>
    <col min="1805" max="1805" width="10.5703125" bestFit="1" customWidth="1"/>
    <col min="1806" max="1806" width="13.28515625" bestFit="1" customWidth="1"/>
    <col min="1808" max="1808" width="18" bestFit="1" customWidth="1"/>
    <col min="2048" max="2048" width="47" customWidth="1"/>
    <col min="2049" max="2049" width="6" bestFit="1" customWidth="1"/>
    <col min="2050" max="2050" width="12.85546875" customWidth="1"/>
    <col min="2051" max="2051" width="13" customWidth="1"/>
    <col min="2052" max="2052" width="15.7109375" bestFit="1" customWidth="1"/>
    <col min="2053" max="2053" width="16.85546875" bestFit="1" customWidth="1"/>
    <col min="2054" max="2057" width="15.7109375" bestFit="1" customWidth="1"/>
    <col min="2058" max="2058" width="12.7109375" bestFit="1" customWidth="1"/>
    <col min="2059" max="2059" width="11.7109375" bestFit="1" customWidth="1"/>
    <col min="2060" max="2060" width="15.7109375" bestFit="1" customWidth="1"/>
    <col min="2061" max="2061" width="10.5703125" bestFit="1" customWidth="1"/>
    <col min="2062" max="2062" width="13.28515625" bestFit="1" customWidth="1"/>
    <col min="2064" max="2064" width="18" bestFit="1" customWidth="1"/>
    <col min="2304" max="2304" width="47" customWidth="1"/>
    <col min="2305" max="2305" width="6" bestFit="1" customWidth="1"/>
    <col min="2306" max="2306" width="12.85546875" customWidth="1"/>
    <col min="2307" max="2307" width="13" customWidth="1"/>
    <col min="2308" max="2308" width="15.7109375" bestFit="1" customWidth="1"/>
    <col min="2309" max="2309" width="16.85546875" bestFit="1" customWidth="1"/>
    <col min="2310" max="2313" width="15.7109375" bestFit="1" customWidth="1"/>
    <col min="2314" max="2314" width="12.7109375" bestFit="1" customWidth="1"/>
    <col min="2315" max="2315" width="11.7109375" bestFit="1" customWidth="1"/>
    <col min="2316" max="2316" width="15.7109375" bestFit="1" customWidth="1"/>
    <col min="2317" max="2317" width="10.5703125" bestFit="1" customWidth="1"/>
    <col min="2318" max="2318" width="13.28515625" bestFit="1" customWidth="1"/>
    <col min="2320" max="2320" width="18" bestFit="1" customWidth="1"/>
    <col min="2560" max="2560" width="47" customWidth="1"/>
    <col min="2561" max="2561" width="6" bestFit="1" customWidth="1"/>
    <col min="2562" max="2562" width="12.85546875" customWidth="1"/>
    <col min="2563" max="2563" width="13" customWidth="1"/>
    <col min="2564" max="2564" width="15.7109375" bestFit="1" customWidth="1"/>
    <col min="2565" max="2565" width="16.85546875" bestFit="1" customWidth="1"/>
    <col min="2566" max="2569" width="15.7109375" bestFit="1" customWidth="1"/>
    <col min="2570" max="2570" width="12.7109375" bestFit="1" customWidth="1"/>
    <col min="2571" max="2571" width="11.7109375" bestFit="1" customWidth="1"/>
    <col min="2572" max="2572" width="15.7109375" bestFit="1" customWidth="1"/>
    <col min="2573" max="2573" width="10.5703125" bestFit="1" customWidth="1"/>
    <col min="2574" max="2574" width="13.28515625" bestFit="1" customWidth="1"/>
    <col min="2576" max="2576" width="18" bestFit="1" customWidth="1"/>
    <col min="2816" max="2816" width="47" customWidth="1"/>
    <col min="2817" max="2817" width="6" bestFit="1" customWidth="1"/>
    <col min="2818" max="2818" width="12.85546875" customWidth="1"/>
    <col min="2819" max="2819" width="13" customWidth="1"/>
    <col min="2820" max="2820" width="15.7109375" bestFit="1" customWidth="1"/>
    <col min="2821" max="2821" width="16.85546875" bestFit="1" customWidth="1"/>
    <col min="2822" max="2825" width="15.7109375" bestFit="1" customWidth="1"/>
    <col min="2826" max="2826" width="12.7109375" bestFit="1" customWidth="1"/>
    <col min="2827" max="2827" width="11.7109375" bestFit="1" customWidth="1"/>
    <col min="2828" max="2828" width="15.7109375" bestFit="1" customWidth="1"/>
    <col min="2829" max="2829" width="10.5703125" bestFit="1" customWidth="1"/>
    <col min="2830" max="2830" width="13.28515625" bestFit="1" customWidth="1"/>
    <col min="2832" max="2832" width="18" bestFit="1" customWidth="1"/>
    <col min="3072" max="3072" width="47" customWidth="1"/>
    <col min="3073" max="3073" width="6" bestFit="1" customWidth="1"/>
    <col min="3074" max="3074" width="12.85546875" customWidth="1"/>
    <col min="3075" max="3075" width="13" customWidth="1"/>
    <col min="3076" max="3076" width="15.7109375" bestFit="1" customWidth="1"/>
    <col min="3077" max="3077" width="16.85546875" bestFit="1" customWidth="1"/>
    <col min="3078" max="3081" width="15.7109375" bestFit="1" customWidth="1"/>
    <col min="3082" max="3082" width="12.7109375" bestFit="1" customWidth="1"/>
    <col min="3083" max="3083" width="11.7109375" bestFit="1" customWidth="1"/>
    <col min="3084" max="3084" width="15.7109375" bestFit="1" customWidth="1"/>
    <col min="3085" max="3085" width="10.5703125" bestFit="1" customWidth="1"/>
    <col min="3086" max="3086" width="13.28515625" bestFit="1" customWidth="1"/>
    <col min="3088" max="3088" width="18" bestFit="1" customWidth="1"/>
    <col min="3328" max="3328" width="47" customWidth="1"/>
    <col min="3329" max="3329" width="6" bestFit="1" customWidth="1"/>
    <col min="3330" max="3330" width="12.85546875" customWidth="1"/>
    <col min="3331" max="3331" width="13" customWidth="1"/>
    <col min="3332" max="3332" width="15.7109375" bestFit="1" customWidth="1"/>
    <col min="3333" max="3333" width="16.85546875" bestFit="1" customWidth="1"/>
    <col min="3334" max="3337" width="15.7109375" bestFit="1" customWidth="1"/>
    <col min="3338" max="3338" width="12.7109375" bestFit="1" customWidth="1"/>
    <col min="3339" max="3339" width="11.7109375" bestFit="1" customWidth="1"/>
    <col min="3340" max="3340" width="15.7109375" bestFit="1" customWidth="1"/>
    <col min="3341" max="3341" width="10.5703125" bestFit="1" customWidth="1"/>
    <col min="3342" max="3342" width="13.28515625" bestFit="1" customWidth="1"/>
    <col min="3344" max="3344" width="18" bestFit="1" customWidth="1"/>
    <col min="3584" max="3584" width="47" customWidth="1"/>
    <col min="3585" max="3585" width="6" bestFit="1" customWidth="1"/>
    <col min="3586" max="3586" width="12.85546875" customWidth="1"/>
    <col min="3587" max="3587" width="13" customWidth="1"/>
    <col min="3588" max="3588" width="15.7109375" bestFit="1" customWidth="1"/>
    <col min="3589" max="3589" width="16.85546875" bestFit="1" customWidth="1"/>
    <col min="3590" max="3593" width="15.7109375" bestFit="1" customWidth="1"/>
    <col min="3594" max="3594" width="12.7109375" bestFit="1" customWidth="1"/>
    <col min="3595" max="3595" width="11.7109375" bestFit="1" customWidth="1"/>
    <col min="3596" max="3596" width="15.7109375" bestFit="1" customWidth="1"/>
    <col min="3597" max="3597" width="10.5703125" bestFit="1" customWidth="1"/>
    <col min="3598" max="3598" width="13.28515625" bestFit="1" customWidth="1"/>
    <col min="3600" max="3600" width="18" bestFit="1" customWidth="1"/>
    <col min="3840" max="3840" width="47" customWidth="1"/>
    <col min="3841" max="3841" width="6" bestFit="1" customWidth="1"/>
    <col min="3842" max="3842" width="12.85546875" customWidth="1"/>
    <col min="3843" max="3843" width="13" customWidth="1"/>
    <col min="3844" max="3844" width="15.7109375" bestFit="1" customWidth="1"/>
    <col min="3845" max="3845" width="16.85546875" bestFit="1" customWidth="1"/>
    <col min="3846" max="3849" width="15.7109375" bestFit="1" customWidth="1"/>
    <col min="3850" max="3850" width="12.7109375" bestFit="1" customWidth="1"/>
    <col min="3851" max="3851" width="11.7109375" bestFit="1" customWidth="1"/>
    <col min="3852" max="3852" width="15.7109375" bestFit="1" customWidth="1"/>
    <col min="3853" max="3853" width="10.5703125" bestFit="1" customWidth="1"/>
    <col min="3854" max="3854" width="13.28515625" bestFit="1" customWidth="1"/>
    <col min="3856" max="3856" width="18" bestFit="1" customWidth="1"/>
    <col min="4096" max="4096" width="47" customWidth="1"/>
    <col min="4097" max="4097" width="6" bestFit="1" customWidth="1"/>
    <col min="4098" max="4098" width="12.85546875" customWidth="1"/>
    <col min="4099" max="4099" width="13" customWidth="1"/>
    <col min="4100" max="4100" width="15.7109375" bestFit="1" customWidth="1"/>
    <col min="4101" max="4101" width="16.85546875" bestFit="1" customWidth="1"/>
    <col min="4102" max="4105" width="15.7109375" bestFit="1" customWidth="1"/>
    <col min="4106" max="4106" width="12.7109375" bestFit="1" customWidth="1"/>
    <col min="4107" max="4107" width="11.7109375" bestFit="1" customWidth="1"/>
    <col min="4108" max="4108" width="15.7109375" bestFit="1" customWidth="1"/>
    <col min="4109" max="4109" width="10.5703125" bestFit="1" customWidth="1"/>
    <col min="4110" max="4110" width="13.28515625" bestFit="1" customWidth="1"/>
    <col min="4112" max="4112" width="18" bestFit="1" customWidth="1"/>
    <col min="4352" max="4352" width="47" customWidth="1"/>
    <col min="4353" max="4353" width="6" bestFit="1" customWidth="1"/>
    <col min="4354" max="4354" width="12.85546875" customWidth="1"/>
    <col min="4355" max="4355" width="13" customWidth="1"/>
    <col min="4356" max="4356" width="15.7109375" bestFit="1" customWidth="1"/>
    <col min="4357" max="4357" width="16.85546875" bestFit="1" customWidth="1"/>
    <col min="4358" max="4361" width="15.7109375" bestFit="1" customWidth="1"/>
    <col min="4362" max="4362" width="12.7109375" bestFit="1" customWidth="1"/>
    <col min="4363" max="4363" width="11.7109375" bestFit="1" customWidth="1"/>
    <col min="4364" max="4364" width="15.7109375" bestFit="1" customWidth="1"/>
    <col min="4365" max="4365" width="10.5703125" bestFit="1" customWidth="1"/>
    <col min="4366" max="4366" width="13.28515625" bestFit="1" customWidth="1"/>
    <col min="4368" max="4368" width="18" bestFit="1" customWidth="1"/>
    <col min="4608" max="4608" width="47" customWidth="1"/>
    <col min="4609" max="4609" width="6" bestFit="1" customWidth="1"/>
    <col min="4610" max="4610" width="12.85546875" customWidth="1"/>
    <col min="4611" max="4611" width="13" customWidth="1"/>
    <col min="4612" max="4612" width="15.7109375" bestFit="1" customWidth="1"/>
    <col min="4613" max="4613" width="16.85546875" bestFit="1" customWidth="1"/>
    <col min="4614" max="4617" width="15.7109375" bestFit="1" customWidth="1"/>
    <col min="4618" max="4618" width="12.7109375" bestFit="1" customWidth="1"/>
    <col min="4619" max="4619" width="11.7109375" bestFit="1" customWidth="1"/>
    <col min="4620" max="4620" width="15.7109375" bestFit="1" customWidth="1"/>
    <col min="4621" max="4621" width="10.5703125" bestFit="1" customWidth="1"/>
    <col min="4622" max="4622" width="13.28515625" bestFit="1" customWidth="1"/>
    <col min="4624" max="4624" width="18" bestFit="1" customWidth="1"/>
    <col min="4864" max="4864" width="47" customWidth="1"/>
    <col min="4865" max="4865" width="6" bestFit="1" customWidth="1"/>
    <col min="4866" max="4866" width="12.85546875" customWidth="1"/>
    <col min="4867" max="4867" width="13" customWidth="1"/>
    <col min="4868" max="4868" width="15.7109375" bestFit="1" customWidth="1"/>
    <col min="4869" max="4869" width="16.85546875" bestFit="1" customWidth="1"/>
    <col min="4870" max="4873" width="15.7109375" bestFit="1" customWidth="1"/>
    <col min="4874" max="4874" width="12.7109375" bestFit="1" customWidth="1"/>
    <col min="4875" max="4875" width="11.7109375" bestFit="1" customWidth="1"/>
    <col min="4876" max="4876" width="15.7109375" bestFit="1" customWidth="1"/>
    <col min="4877" max="4877" width="10.5703125" bestFit="1" customWidth="1"/>
    <col min="4878" max="4878" width="13.28515625" bestFit="1" customWidth="1"/>
    <col min="4880" max="4880" width="18" bestFit="1" customWidth="1"/>
    <col min="5120" max="5120" width="47" customWidth="1"/>
    <col min="5121" max="5121" width="6" bestFit="1" customWidth="1"/>
    <col min="5122" max="5122" width="12.85546875" customWidth="1"/>
    <col min="5123" max="5123" width="13" customWidth="1"/>
    <col min="5124" max="5124" width="15.7109375" bestFit="1" customWidth="1"/>
    <col min="5125" max="5125" width="16.85546875" bestFit="1" customWidth="1"/>
    <col min="5126" max="5129" width="15.7109375" bestFit="1" customWidth="1"/>
    <col min="5130" max="5130" width="12.7109375" bestFit="1" customWidth="1"/>
    <col min="5131" max="5131" width="11.7109375" bestFit="1" customWidth="1"/>
    <col min="5132" max="5132" width="15.7109375" bestFit="1" customWidth="1"/>
    <col min="5133" max="5133" width="10.5703125" bestFit="1" customWidth="1"/>
    <col min="5134" max="5134" width="13.28515625" bestFit="1" customWidth="1"/>
    <col min="5136" max="5136" width="18" bestFit="1" customWidth="1"/>
    <col min="5376" max="5376" width="47" customWidth="1"/>
    <col min="5377" max="5377" width="6" bestFit="1" customWidth="1"/>
    <col min="5378" max="5378" width="12.85546875" customWidth="1"/>
    <col min="5379" max="5379" width="13" customWidth="1"/>
    <col min="5380" max="5380" width="15.7109375" bestFit="1" customWidth="1"/>
    <col min="5381" max="5381" width="16.85546875" bestFit="1" customWidth="1"/>
    <col min="5382" max="5385" width="15.7109375" bestFit="1" customWidth="1"/>
    <col min="5386" max="5386" width="12.7109375" bestFit="1" customWidth="1"/>
    <col min="5387" max="5387" width="11.7109375" bestFit="1" customWidth="1"/>
    <col min="5388" max="5388" width="15.7109375" bestFit="1" customWidth="1"/>
    <col min="5389" max="5389" width="10.5703125" bestFit="1" customWidth="1"/>
    <col min="5390" max="5390" width="13.28515625" bestFit="1" customWidth="1"/>
    <col min="5392" max="5392" width="18" bestFit="1" customWidth="1"/>
    <col min="5632" max="5632" width="47" customWidth="1"/>
    <col min="5633" max="5633" width="6" bestFit="1" customWidth="1"/>
    <col min="5634" max="5634" width="12.85546875" customWidth="1"/>
    <col min="5635" max="5635" width="13" customWidth="1"/>
    <col min="5636" max="5636" width="15.7109375" bestFit="1" customWidth="1"/>
    <col min="5637" max="5637" width="16.85546875" bestFit="1" customWidth="1"/>
    <col min="5638" max="5641" width="15.7109375" bestFit="1" customWidth="1"/>
    <col min="5642" max="5642" width="12.7109375" bestFit="1" customWidth="1"/>
    <col min="5643" max="5643" width="11.7109375" bestFit="1" customWidth="1"/>
    <col min="5644" max="5644" width="15.7109375" bestFit="1" customWidth="1"/>
    <col min="5645" max="5645" width="10.5703125" bestFit="1" customWidth="1"/>
    <col min="5646" max="5646" width="13.28515625" bestFit="1" customWidth="1"/>
    <col min="5648" max="5648" width="18" bestFit="1" customWidth="1"/>
    <col min="5888" max="5888" width="47" customWidth="1"/>
    <col min="5889" max="5889" width="6" bestFit="1" customWidth="1"/>
    <col min="5890" max="5890" width="12.85546875" customWidth="1"/>
    <col min="5891" max="5891" width="13" customWidth="1"/>
    <col min="5892" max="5892" width="15.7109375" bestFit="1" customWidth="1"/>
    <col min="5893" max="5893" width="16.85546875" bestFit="1" customWidth="1"/>
    <col min="5894" max="5897" width="15.7109375" bestFit="1" customWidth="1"/>
    <col min="5898" max="5898" width="12.7109375" bestFit="1" customWidth="1"/>
    <col min="5899" max="5899" width="11.7109375" bestFit="1" customWidth="1"/>
    <col min="5900" max="5900" width="15.7109375" bestFit="1" customWidth="1"/>
    <col min="5901" max="5901" width="10.5703125" bestFit="1" customWidth="1"/>
    <col min="5902" max="5902" width="13.28515625" bestFit="1" customWidth="1"/>
    <col min="5904" max="5904" width="18" bestFit="1" customWidth="1"/>
    <col min="6144" max="6144" width="47" customWidth="1"/>
    <col min="6145" max="6145" width="6" bestFit="1" customWidth="1"/>
    <col min="6146" max="6146" width="12.85546875" customWidth="1"/>
    <col min="6147" max="6147" width="13" customWidth="1"/>
    <col min="6148" max="6148" width="15.7109375" bestFit="1" customWidth="1"/>
    <col min="6149" max="6149" width="16.85546875" bestFit="1" customWidth="1"/>
    <col min="6150" max="6153" width="15.7109375" bestFit="1" customWidth="1"/>
    <col min="6154" max="6154" width="12.7109375" bestFit="1" customWidth="1"/>
    <col min="6155" max="6155" width="11.7109375" bestFit="1" customWidth="1"/>
    <col min="6156" max="6156" width="15.7109375" bestFit="1" customWidth="1"/>
    <col min="6157" max="6157" width="10.5703125" bestFit="1" customWidth="1"/>
    <col min="6158" max="6158" width="13.28515625" bestFit="1" customWidth="1"/>
    <col min="6160" max="6160" width="18" bestFit="1" customWidth="1"/>
    <col min="6400" max="6400" width="47" customWidth="1"/>
    <col min="6401" max="6401" width="6" bestFit="1" customWidth="1"/>
    <col min="6402" max="6402" width="12.85546875" customWidth="1"/>
    <col min="6403" max="6403" width="13" customWidth="1"/>
    <col min="6404" max="6404" width="15.7109375" bestFit="1" customWidth="1"/>
    <col min="6405" max="6405" width="16.85546875" bestFit="1" customWidth="1"/>
    <col min="6406" max="6409" width="15.7109375" bestFit="1" customWidth="1"/>
    <col min="6410" max="6410" width="12.7109375" bestFit="1" customWidth="1"/>
    <col min="6411" max="6411" width="11.7109375" bestFit="1" customWidth="1"/>
    <col min="6412" max="6412" width="15.7109375" bestFit="1" customWidth="1"/>
    <col min="6413" max="6413" width="10.5703125" bestFit="1" customWidth="1"/>
    <col min="6414" max="6414" width="13.28515625" bestFit="1" customWidth="1"/>
    <col min="6416" max="6416" width="18" bestFit="1" customWidth="1"/>
    <col min="6656" max="6656" width="47" customWidth="1"/>
    <col min="6657" max="6657" width="6" bestFit="1" customWidth="1"/>
    <col min="6658" max="6658" width="12.85546875" customWidth="1"/>
    <col min="6659" max="6659" width="13" customWidth="1"/>
    <col min="6660" max="6660" width="15.7109375" bestFit="1" customWidth="1"/>
    <col min="6661" max="6661" width="16.85546875" bestFit="1" customWidth="1"/>
    <col min="6662" max="6665" width="15.7109375" bestFit="1" customWidth="1"/>
    <col min="6666" max="6666" width="12.7109375" bestFit="1" customWidth="1"/>
    <col min="6667" max="6667" width="11.7109375" bestFit="1" customWidth="1"/>
    <col min="6668" max="6668" width="15.7109375" bestFit="1" customWidth="1"/>
    <col min="6669" max="6669" width="10.5703125" bestFit="1" customWidth="1"/>
    <col min="6670" max="6670" width="13.28515625" bestFit="1" customWidth="1"/>
    <col min="6672" max="6672" width="18" bestFit="1" customWidth="1"/>
    <col min="6912" max="6912" width="47" customWidth="1"/>
    <col min="6913" max="6913" width="6" bestFit="1" customWidth="1"/>
    <col min="6914" max="6914" width="12.85546875" customWidth="1"/>
    <col min="6915" max="6915" width="13" customWidth="1"/>
    <col min="6916" max="6916" width="15.7109375" bestFit="1" customWidth="1"/>
    <col min="6917" max="6917" width="16.85546875" bestFit="1" customWidth="1"/>
    <col min="6918" max="6921" width="15.7109375" bestFit="1" customWidth="1"/>
    <col min="6922" max="6922" width="12.7109375" bestFit="1" customWidth="1"/>
    <col min="6923" max="6923" width="11.7109375" bestFit="1" customWidth="1"/>
    <col min="6924" max="6924" width="15.7109375" bestFit="1" customWidth="1"/>
    <col min="6925" max="6925" width="10.5703125" bestFit="1" customWidth="1"/>
    <col min="6926" max="6926" width="13.28515625" bestFit="1" customWidth="1"/>
    <col min="6928" max="6928" width="18" bestFit="1" customWidth="1"/>
    <col min="7168" max="7168" width="47" customWidth="1"/>
    <col min="7169" max="7169" width="6" bestFit="1" customWidth="1"/>
    <col min="7170" max="7170" width="12.85546875" customWidth="1"/>
    <col min="7171" max="7171" width="13" customWidth="1"/>
    <col min="7172" max="7172" width="15.7109375" bestFit="1" customWidth="1"/>
    <col min="7173" max="7173" width="16.85546875" bestFit="1" customWidth="1"/>
    <col min="7174" max="7177" width="15.7109375" bestFit="1" customWidth="1"/>
    <col min="7178" max="7178" width="12.7109375" bestFit="1" customWidth="1"/>
    <col min="7179" max="7179" width="11.7109375" bestFit="1" customWidth="1"/>
    <col min="7180" max="7180" width="15.7109375" bestFit="1" customWidth="1"/>
    <col min="7181" max="7181" width="10.5703125" bestFit="1" customWidth="1"/>
    <col min="7182" max="7182" width="13.28515625" bestFit="1" customWidth="1"/>
    <col min="7184" max="7184" width="18" bestFit="1" customWidth="1"/>
    <col min="7424" max="7424" width="47" customWidth="1"/>
    <col min="7425" max="7425" width="6" bestFit="1" customWidth="1"/>
    <col min="7426" max="7426" width="12.85546875" customWidth="1"/>
    <col min="7427" max="7427" width="13" customWidth="1"/>
    <col min="7428" max="7428" width="15.7109375" bestFit="1" customWidth="1"/>
    <col min="7429" max="7429" width="16.85546875" bestFit="1" customWidth="1"/>
    <col min="7430" max="7433" width="15.7109375" bestFit="1" customWidth="1"/>
    <col min="7434" max="7434" width="12.7109375" bestFit="1" customWidth="1"/>
    <col min="7435" max="7435" width="11.7109375" bestFit="1" customWidth="1"/>
    <col min="7436" max="7436" width="15.7109375" bestFit="1" customWidth="1"/>
    <col min="7437" max="7437" width="10.5703125" bestFit="1" customWidth="1"/>
    <col min="7438" max="7438" width="13.28515625" bestFit="1" customWidth="1"/>
    <col min="7440" max="7440" width="18" bestFit="1" customWidth="1"/>
    <col min="7680" max="7680" width="47" customWidth="1"/>
    <col min="7681" max="7681" width="6" bestFit="1" customWidth="1"/>
    <col min="7682" max="7682" width="12.85546875" customWidth="1"/>
    <col min="7683" max="7683" width="13" customWidth="1"/>
    <col min="7684" max="7684" width="15.7109375" bestFit="1" customWidth="1"/>
    <col min="7685" max="7685" width="16.85546875" bestFit="1" customWidth="1"/>
    <col min="7686" max="7689" width="15.7109375" bestFit="1" customWidth="1"/>
    <col min="7690" max="7690" width="12.7109375" bestFit="1" customWidth="1"/>
    <col min="7691" max="7691" width="11.7109375" bestFit="1" customWidth="1"/>
    <col min="7692" max="7692" width="15.7109375" bestFit="1" customWidth="1"/>
    <col min="7693" max="7693" width="10.5703125" bestFit="1" customWidth="1"/>
    <col min="7694" max="7694" width="13.28515625" bestFit="1" customWidth="1"/>
    <col min="7696" max="7696" width="18" bestFit="1" customWidth="1"/>
    <col min="7936" max="7936" width="47" customWidth="1"/>
    <col min="7937" max="7937" width="6" bestFit="1" customWidth="1"/>
    <col min="7938" max="7938" width="12.85546875" customWidth="1"/>
    <col min="7939" max="7939" width="13" customWidth="1"/>
    <col min="7940" max="7940" width="15.7109375" bestFit="1" customWidth="1"/>
    <col min="7941" max="7941" width="16.85546875" bestFit="1" customWidth="1"/>
    <col min="7942" max="7945" width="15.7109375" bestFit="1" customWidth="1"/>
    <col min="7946" max="7946" width="12.7109375" bestFit="1" customWidth="1"/>
    <col min="7947" max="7947" width="11.7109375" bestFit="1" customWidth="1"/>
    <col min="7948" max="7948" width="15.7109375" bestFit="1" customWidth="1"/>
    <col min="7949" max="7949" width="10.5703125" bestFit="1" customWidth="1"/>
    <col min="7950" max="7950" width="13.28515625" bestFit="1" customWidth="1"/>
    <col min="7952" max="7952" width="18" bestFit="1" customWidth="1"/>
    <col min="8192" max="8192" width="47" customWidth="1"/>
    <col min="8193" max="8193" width="6" bestFit="1" customWidth="1"/>
    <col min="8194" max="8194" width="12.85546875" customWidth="1"/>
    <col min="8195" max="8195" width="13" customWidth="1"/>
    <col min="8196" max="8196" width="15.7109375" bestFit="1" customWidth="1"/>
    <col min="8197" max="8197" width="16.85546875" bestFit="1" customWidth="1"/>
    <col min="8198" max="8201" width="15.7109375" bestFit="1" customWidth="1"/>
    <col min="8202" max="8202" width="12.7109375" bestFit="1" customWidth="1"/>
    <col min="8203" max="8203" width="11.7109375" bestFit="1" customWidth="1"/>
    <col min="8204" max="8204" width="15.7109375" bestFit="1" customWidth="1"/>
    <col min="8205" max="8205" width="10.5703125" bestFit="1" customWidth="1"/>
    <col min="8206" max="8206" width="13.28515625" bestFit="1" customWidth="1"/>
    <col min="8208" max="8208" width="18" bestFit="1" customWidth="1"/>
    <col min="8448" max="8448" width="47" customWidth="1"/>
    <col min="8449" max="8449" width="6" bestFit="1" customWidth="1"/>
    <col min="8450" max="8450" width="12.85546875" customWidth="1"/>
    <col min="8451" max="8451" width="13" customWidth="1"/>
    <col min="8452" max="8452" width="15.7109375" bestFit="1" customWidth="1"/>
    <col min="8453" max="8453" width="16.85546875" bestFit="1" customWidth="1"/>
    <col min="8454" max="8457" width="15.7109375" bestFit="1" customWidth="1"/>
    <col min="8458" max="8458" width="12.7109375" bestFit="1" customWidth="1"/>
    <col min="8459" max="8459" width="11.7109375" bestFit="1" customWidth="1"/>
    <col min="8460" max="8460" width="15.7109375" bestFit="1" customWidth="1"/>
    <col min="8461" max="8461" width="10.5703125" bestFit="1" customWidth="1"/>
    <col min="8462" max="8462" width="13.28515625" bestFit="1" customWidth="1"/>
    <col min="8464" max="8464" width="18" bestFit="1" customWidth="1"/>
    <col min="8704" max="8704" width="47" customWidth="1"/>
    <col min="8705" max="8705" width="6" bestFit="1" customWidth="1"/>
    <col min="8706" max="8706" width="12.85546875" customWidth="1"/>
    <col min="8707" max="8707" width="13" customWidth="1"/>
    <col min="8708" max="8708" width="15.7109375" bestFit="1" customWidth="1"/>
    <col min="8709" max="8709" width="16.85546875" bestFit="1" customWidth="1"/>
    <col min="8710" max="8713" width="15.7109375" bestFit="1" customWidth="1"/>
    <col min="8714" max="8714" width="12.7109375" bestFit="1" customWidth="1"/>
    <col min="8715" max="8715" width="11.7109375" bestFit="1" customWidth="1"/>
    <col min="8716" max="8716" width="15.7109375" bestFit="1" customWidth="1"/>
    <col min="8717" max="8717" width="10.5703125" bestFit="1" customWidth="1"/>
    <col min="8718" max="8718" width="13.28515625" bestFit="1" customWidth="1"/>
    <col min="8720" max="8720" width="18" bestFit="1" customWidth="1"/>
    <col min="8960" max="8960" width="47" customWidth="1"/>
    <col min="8961" max="8961" width="6" bestFit="1" customWidth="1"/>
    <col min="8962" max="8962" width="12.85546875" customWidth="1"/>
    <col min="8963" max="8963" width="13" customWidth="1"/>
    <col min="8964" max="8964" width="15.7109375" bestFit="1" customWidth="1"/>
    <col min="8965" max="8965" width="16.85546875" bestFit="1" customWidth="1"/>
    <col min="8966" max="8969" width="15.7109375" bestFit="1" customWidth="1"/>
    <col min="8970" max="8970" width="12.7109375" bestFit="1" customWidth="1"/>
    <col min="8971" max="8971" width="11.7109375" bestFit="1" customWidth="1"/>
    <col min="8972" max="8972" width="15.7109375" bestFit="1" customWidth="1"/>
    <col min="8973" max="8973" width="10.5703125" bestFit="1" customWidth="1"/>
    <col min="8974" max="8974" width="13.28515625" bestFit="1" customWidth="1"/>
    <col min="8976" max="8976" width="18" bestFit="1" customWidth="1"/>
    <col min="9216" max="9216" width="47" customWidth="1"/>
    <col min="9217" max="9217" width="6" bestFit="1" customWidth="1"/>
    <col min="9218" max="9218" width="12.85546875" customWidth="1"/>
    <col min="9219" max="9219" width="13" customWidth="1"/>
    <col min="9220" max="9220" width="15.7109375" bestFit="1" customWidth="1"/>
    <col min="9221" max="9221" width="16.85546875" bestFit="1" customWidth="1"/>
    <col min="9222" max="9225" width="15.7109375" bestFit="1" customWidth="1"/>
    <col min="9226" max="9226" width="12.7109375" bestFit="1" customWidth="1"/>
    <col min="9227" max="9227" width="11.7109375" bestFit="1" customWidth="1"/>
    <col min="9228" max="9228" width="15.7109375" bestFit="1" customWidth="1"/>
    <col min="9229" max="9229" width="10.5703125" bestFit="1" customWidth="1"/>
    <col min="9230" max="9230" width="13.28515625" bestFit="1" customWidth="1"/>
    <col min="9232" max="9232" width="18" bestFit="1" customWidth="1"/>
    <col min="9472" max="9472" width="47" customWidth="1"/>
    <col min="9473" max="9473" width="6" bestFit="1" customWidth="1"/>
    <col min="9474" max="9474" width="12.85546875" customWidth="1"/>
    <col min="9475" max="9475" width="13" customWidth="1"/>
    <col min="9476" max="9476" width="15.7109375" bestFit="1" customWidth="1"/>
    <col min="9477" max="9477" width="16.85546875" bestFit="1" customWidth="1"/>
    <col min="9478" max="9481" width="15.7109375" bestFit="1" customWidth="1"/>
    <col min="9482" max="9482" width="12.7109375" bestFit="1" customWidth="1"/>
    <col min="9483" max="9483" width="11.7109375" bestFit="1" customWidth="1"/>
    <col min="9484" max="9484" width="15.7109375" bestFit="1" customWidth="1"/>
    <col min="9485" max="9485" width="10.5703125" bestFit="1" customWidth="1"/>
    <col min="9486" max="9486" width="13.28515625" bestFit="1" customWidth="1"/>
    <col min="9488" max="9488" width="18" bestFit="1" customWidth="1"/>
    <col min="9728" max="9728" width="47" customWidth="1"/>
    <col min="9729" max="9729" width="6" bestFit="1" customWidth="1"/>
    <col min="9730" max="9730" width="12.85546875" customWidth="1"/>
    <col min="9731" max="9731" width="13" customWidth="1"/>
    <col min="9732" max="9732" width="15.7109375" bestFit="1" customWidth="1"/>
    <col min="9733" max="9733" width="16.85546875" bestFit="1" customWidth="1"/>
    <col min="9734" max="9737" width="15.7109375" bestFit="1" customWidth="1"/>
    <col min="9738" max="9738" width="12.7109375" bestFit="1" customWidth="1"/>
    <col min="9739" max="9739" width="11.7109375" bestFit="1" customWidth="1"/>
    <col min="9740" max="9740" width="15.7109375" bestFit="1" customWidth="1"/>
    <col min="9741" max="9741" width="10.5703125" bestFit="1" customWidth="1"/>
    <col min="9742" max="9742" width="13.28515625" bestFit="1" customWidth="1"/>
    <col min="9744" max="9744" width="18" bestFit="1" customWidth="1"/>
    <col min="9984" max="9984" width="47" customWidth="1"/>
    <col min="9985" max="9985" width="6" bestFit="1" customWidth="1"/>
    <col min="9986" max="9986" width="12.85546875" customWidth="1"/>
    <col min="9987" max="9987" width="13" customWidth="1"/>
    <col min="9988" max="9988" width="15.7109375" bestFit="1" customWidth="1"/>
    <col min="9989" max="9989" width="16.85546875" bestFit="1" customWidth="1"/>
    <col min="9990" max="9993" width="15.7109375" bestFit="1" customWidth="1"/>
    <col min="9994" max="9994" width="12.7109375" bestFit="1" customWidth="1"/>
    <col min="9995" max="9995" width="11.7109375" bestFit="1" customWidth="1"/>
    <col min="9996" max="9996" width="15.7109375" bestFit="1" customWidth="1"/>
    <col min="9997" max="9997" width="10.5703125" bestFit="1" customWidth="1"/>
    <col min="9998" max="9998" width="13.28515625" bestFit="1" customWidth="1"/>
    <col min="10000" max="10000" width="18" bestFit="1" customWidth="1"/>
    <col min="10240" max="10240" width="47" customWidth="1"/>
    <col min="10241" max="10241" width="6" bestFit="1" customWidth="1"/>
    <col min="10242" max="10242" width="12.85546875" customWidth="1"/>
    <col min="10243" max="10243" width="13" customWidth="1"/>
    <col min="10244" max="10244" width="15.7109375" bestFit="1" customWidth="1"/>
    <col min="10245" max="10245" width="16.85546875" bestFit="1" customWidth="1"/>
    <col min="10246" max="10249" width="15.7109375" bestFit="1" customWidth="1"/>
    <col min="10250" max="10250" width="12.7109375" bestFit="1" customWidth="1"/>
    <col min="10251" max="10251" width="11.7109375" bestFit="1" customWidth="1"/>
    <col min="10252" max="10252" width="15.7109375" bestFit="1" customWidth="1"/>
    <col min="10253" max="10253" width="10.5703125" bestFit="1" customWidth="1"/>
    <col min="10254" max="10254" width="13.28515625" bestFit="1" customWidth="1"/>
    <col min="10256" max="10256" width="18" bestFit="1" customWidth="1"/>
    <col min="10496" max="10496" width="47" customWidth="1"/>
    <col min="10497" max="10497" width="6" bestFit="1" customWidth="1"/>
    <col min="10498" max="10498" width="12.85546875" customWidth="1"/>
    <col min="10499" max="10499" width="13" customWidth="1"/>
    <col min="10500" max="10500" width="15.7109375" bestFit="1" customWidth="1"/>
    <col min="10501" max="10501" width="16.85546875" bestFit="1" customWidth="1"/>
    <col min="10502" max="10505" width="15.7109375" bestFit="1" customWidth="1"/>
    <col min="10506" max="10506" width="12.7109375" bestFit="1" customWidth="1"/>
    <col min="10507" max="10507" width="11.7109375" bestFit="1" customWidth="1"/>
    <col min="10508" max="10508" width="15.7109375" bestFit="1" customWidth="1"/>
    <col min="10509" max="10509" width="10.5703125" bestFit="1" customWidth="1"/>
    <col min="10510" max="10510" width="13.28515625" bestFit="1" customWidth="1"/>
    <col min="10512" max="10512" width="18" bestFit="1" customWidth="1"/>
    <col min="10752" max="10752" width="47" customWidth="1"/>
    <col min="10753" max="10753" width="6" bestFit="1" customWidth="1"/>
    <col min="10754" max="10754" width="12.85546875" customWidth="1"/>
    <col min="10755" max="10755" width="13" customWidth="1"/>
    <col min="10756" max="10756" width="15.7109375" bestFit="1" customWidth="1"/>
    <col min="10757" max="10757" width="16.85546875" bestFit="1" customWidth="1"/>
    <col min="10758" max="10761" width="15.7109375" bestFit="1" customWidth="1"/>
    <col min="10762" max="10762" width="12.7109375" bestFit="1" customWidth="1"/>
    <col min="10763" max="10763" width="11.7109375" bestFit="1" customWidth="1"/>
    <col min="10764" max="10764" width="15.7109375" bestFit="1" customWidth="1"/>
    <col min="10765" max="10765" width="10.5703125" bestFit="1" customWidth="1"/>
    <col min="10766" max="10766" width="13.28515625" bestFit="1" customWidth="1"/>
    <col min="10768" max="10768" width="18" bestFit="1" customWidth="1"/>
    <col min="11008" max="11008" width="47" customWidth="1"/>
    <col min="11009" max="11009" width="6" bestFit="1" customWidth="1"/>
    <col min="11010" max="11010" width="12.85546875" customWidth="1"/>
    <col min="11011" max="11011" width="13" customWidth="1"/>
    <col min="11012" max="11012" width="15.7109375" bestFit="1" customWidth="1"/>
    <col min="11013" max="11013" width="16.85546875" bestFit="1" customWidth="1"/>
    <col min="11014" max="11017" width="15.7109375" bestFit="1" customWidth="1"/>
    <col min="11018" max="11018" width="12.7109375" bestFit="1" customWidth="1"/>
    <col min="11019" max="11019" width="11.7109375" bestFit="1" customWidth="1"/>
    <col min="11020" max="11020" width="15.7109375" bestFit="1" customWidth="1"/>
    <col min="11021" max="11021" width="10.5703125" bestFit="1" customWidth="1"/>
    <col min="11022" max="11022" width="13.28515625" bestFit="1" customWidth="1"/>
    <col min="11024" max="11024" width="18" bestFit="1" customWidth="1"/>
    <col min="11264" max="11264" width="47" customWidth="1"/>
    <col min="11265" max="11265" width="6" bestFit="1" customWidth="1"/>
    <col min="11266" max="11266" width="12.85546875" customWidth="1"/>
    <col min="11267" max="11267" width="13" customWidth="1"/>
    <col min="11268" max="11268" width="15.7109375" bestFit="1" customWidth="1"/>
    <col min="11269" max="11269" width="16.85546875" bestFit="1" customWidth="1"/>
    <col min="11270" max="11273" width="15.7109375" bestFit="1" customWidth="1"/>
    <col min="11274" max="11274" width="12.7109375" bestFit="1" customWidth="1"/>
    <col min="11275" max="11275" width="11.7109375" bestFit="1" customWidth="1"/>
    <col min="11276" max="11276" width="15.7109375" bestFit="1" customWidth="1"/>
    <col min="11277" max="11277" width="10.5703125" bestFit="1" customWidth="1"/>
    <col min="11278" max="11278" width="13.28515625" bestFit="1" customWidth="1"/>
    <col min="11280" max="11280" width="18" bestFit="1" customWidth="1"/>
    <col min="11520" max="11520" width="47" customWidth="1"/>
    <col min="11521" max="11521" width="6" bestFit="1" customWidth="1"/>
    <col min="11522" max="11522" width="12.85546875" customWidth="1"/>
    <col min="11523" max="11523" width="13" customWidth="1"/>
    <col min="11524" max="11524" width="15.7109375" bestFit="1" customWidth="1"/>
    <col min="11525" max="11525" width="16.85546875" bestFit="1" customWidth="1"/>
    <col min="11526" max="11529" width="15.7109375" bestFit="1" customWidth="1"/>
    <col min="11530" max="11530" width="12.7109375" bestFit="1" customWidth="1"/>
    <col min="11531" max="11531" width="11.7109375" bestFit="1" customWidth="1"/>
    <col min="11532" max="11532" width="15.7109375" bestFit="1" customWidth="1"/>
    <col min="11533" max="11533" width="10.5703125" bestFit="1" customWidth="1"/>
    <col min="11534" max="11534" width="13.28515625" bestFit="1" customWidth="1"/>
    <col min="11536" max="11536" width="18" bestFit="1" customWidth="1"/>
    <col min="11776" max="11776" width="47" customWidth="1"/>
    <col min="11777" max="11777" width="6" bestFit="1" customWidth="1"/>
    <col min="11778" max="11778" width="12.85546875" customWidth="1"/>
    <col min="11779" max="11779" width="13" customWidth="1"/>
    <col min="11780" max="11780" width="15.7109375" bestFit="1" customWidth="1"/>
    <col min="11781" max="11781" width="16.85546875" bestFit="1" customWidth="1"/>
    <col min="11782" max="11785" width="15.7109375" bestFit="1" customWidth="1"/>
    <col min="11786" max="11786" width="12.7109375" bestFit="1" customWidth="1"/>
    <col min="11787" max="11787" width="11.7109375" bestFit="1" customWidth="1"/>
    <col min="11788" max="11788" width="15.7109375" bestFit="1" customWidth="1"/>
    <col min="11789" max="11789" width="10.5703125" bestFit="1" customWidth="1"/>
    <col min="11790" max="11790" width="13.28515625" bestFit="1" customWidth="1"/>
    <col min="11792" max="11792" width="18" bestFit="1" customWidth="1"/>
    <col min="12032" max="12032" width="47" customWidth="1"/>
    <col min="12033" max="12033" width="6" bestFit="1" customWidth="1"/>
    <col min="12034" max="12034" width="12.85546875" customWidth="1"/>
    <col min="12035" max="12035" width="13" customWidth="1"/>
    <col min="12036" max="12036" width="15.7109375" bestFit="1" customWidth="1"/>
    <col min="12037" max="12037" width="16.85546875" bestFit="1" customWidth="1"/>
    <col min="12038" max="12041" width="15.7109375" bestFit="1" customWidth="1"/>
    <col min="12042" max="12042" width="12.7109375" bestFit="1" customWidth="1"/>
    <col min="12043" max="12043" width="11.7109375" bestFit="1" customWidth="1"/>
    <col min="12044" max="12044" width="15.7109375" bestFit="1" customWidth="1"/>
    <col min="12045" max="12045" width="10.5703125" bestFit="1" customWidth="1"/>
    <col min="12046" max="12046" width="13.28515625" bestFit="1" customWidth="1"/>
    <col min="12048" max="12048" width="18" bestFit="1" customWidth="1"/>
    <col min="12288" max="12288" width="47" customWidth="1"/>
    <col min="12289" max="12289" width="6" bestFit="1" customWidth="1"/>
    <col min="12290" max="12290" width="12.85546875" customWidth="1"/>
    <col min="12291" max="12291" width="13" customWidth="1"/>
    <col min="12292" max="12292" width="15.7109375" bestFit="1" customWidth="1"/>
    <col min="12293" max="12293" width="16.85546875" bestFit="1" customWidth="1"/>
    <col min="12294" max="12297" width="15.7109375" bestFit="1" customWidth="1"/>
    <col min="12298" max="12298" width="12.7109375" bestFit="1" customWidth="1"/>
    <col min="12299" max="12299" width="11.7109375" bestFit="1" customWidth="1"/>
    <col min="12300" max="12300" width="15.7109375" bestFit="1" customWidth="1"/>
    <col min="12301" max="12301" width="10.5703125" bestFit="1" customWidth="1"/>
    <col min="12302" max="12302" width="13.28515625" bestFit="1" customWidth="1"/>
    <col min="12304" max="12304" width="18" bestFit="1" customWidth="1"/>
    <col min="12544" max="12544" width="47" customWidth="1"/>
    <col min="12545" max="12545" width="6" bestFit="1" customWidth="1"/>
    <col min="12546" max="12546" width="12.85546875" customWidth="1"/>
    <col min="12547" max="12547" width="13" customWidth="1"/>
    <col min="12548" max="12548" width="15.7109375" bestFit="1" customWidth="1"/>
    <col min="12549" max="12549" width="16.85546875" bestFit="1" customWidth="1"/>
    <col min="12550" max="12553" width="15.7109375" bestFit="1" customWidth="1"/>
    <col min="12554" max="12554" width="12.7109375" bestFit="1" customWidth="1"/>
    <col min="12555" max="12555" width="11.7109375" bestFit="1" customWidth="1"/>
    <col min="12556" max="12556" width="15.7109375" bestFit="1" customWidth="1"/>
    <col min="12557" max="12557" width="10.5703125" bestFit="1" customWidth="1"/>
    <col min="12558" max="12558" width="13.28515625" bestFit="1" customWidth="1"/>
    <col min="12560" max="12560" width="18" bestFit="1" customWidth="1"/>
    <col min="12800" max="12800" width="47" customWidth="1"/>
    <col min="12801" max="12801" width="6" bestFit="1" customWidth="1"/>
    <col min="12802" max="12802" width="12.85546875" customWidth="1"/>
    <col min="12803" max="12803" width="13" customWidth="1"/>
    <col min="12804" max="12804" width="15.7109375" bestFit="1" customWidth="1"/>
    <col min="12805" max="12805" width="16.85546875" bestFit="1" customWidth="1"/>
    <col min="12806" max="12809" width="15.7109375" bestFit="1" customWidth="1"/>
    <col min="12810" max="12810" width="12.7109375" bestFit="1" customWidth="1"/>
    <col min="12811" max="12811" width="11.7109375" bestFit="1" customWidth="1"/>
    <col min="12812" max="12812" width="15.7109375" bestFit="1" customWidth="1"/>
    <col min="12813" max="12813" width="10.5703125" bestFit="1" customWidth="1"/>
    <col min="12814" max="12814" width="13.28515625" bestFit="1" customWidth="1"/>
    <col min="12816" max="12816" width="18" bestFit="1" customWidth="1"/>
    <col min="13056" max="13056" width="47" customWidth="1"/>
    <col min="13057" max="13057" width="6" bestFit="1" customWidth="1"/>
    <col min="13058" max="13058" width="12.85546875" customWidth="1"/>
    <col min="13059" max="13059" width="13" customWidth="1"/>
    <col min="13060" max="13060" width="15.7109375" bestFit="1" customWidth="1"/>
    <col min="13061" max="13061" width="16.85546875" bestFit="1" customWidth="1"/>
    <col min="13062" max="13065" width="15.7109375" bestFit="1" customWidth="1"/>
    <col min="13066" max="13066" width="12.7109375" bestFit="1" customWidth="1"/>
    <col min="13067" max="13067" width="11.7109375" bestFit="1" customWidth="1"/>
    <col min="13068" max="13068" width="15.7109375" bestFit="1" customWidth="1"/>
    <col min="13069" max="13069" width="10.5703125" bestFit="1" customWidth="1"/>
    <col min="13070" max="13070" width="13.28515625" bestFit="1" customWidth="1"/>
    <col min="13072" max="13072" width="18" bestFit="1" customWidth="1"/>
    <col min="13312" max="13312" width="47" customWidth="1"/>
    <col min="13313" max="13313" width="6" bestFit="1" customWidth="1"/>
    <col min="13314" max="13314" width="12.85546875" customWidth="1"/>
    <col min="13315" max="13315" width="13" customWidth="1"/>
    <col min="13316" max="13316" width="15.7109375" bestFit="1" customWidth="1"/>
    <col min="13317" max="13317" width="16.85546875" bestFit="1" customWidth="1"/>
    <col min="13318" max="13321" width="15.7109375" bestFit="1" customWidth="1"/>
    <col min="13322" max="13322" width="12.7109375" bestFit="1" customWidth="1"/>
    <col min="13323" max="13323" width="11.7109375" bestFit="1" customWidth="1"/>
    <col min="13324" max="13324" width="15.7109375" bestFit="1" customWidth="1"/>
    <col min="13325" max="13325" width="10.5703125" bestFit="1" customWidth="1"/>
    <col min="13326" max="13326" width="13.28515625" bestFit="1" customWidth="1"/>
    <col min="13328" max="13328" width="18" bestFit="1" customWidth="1"/>
    <col min="13568" max="13568" width="47" customWidth="1"/>
    <col min="13569" max="13569" width="6" bestFit="1" customWidth="1"/>
    <col min="13570" max="13570" width="12.85546875" customWidth="1"/>
    <col min="13571" max="13571" width="13" customWidth="1"/>
    <col min="13572" max="13572" width="15.7109375" bestFit="1" customWidth="1"/>
    <col min="13573" max="13573" width="16.85546875" bestFit="1" customWidth="1"/>
    <col min="13574" max="13577" width="15.7109375" bestFit="1" customWidth="1"/>
    <col min="13578" max="13578" width="12.7109375" bestFit="1" customWidth="1"/>
    <col min="13579" max="13579" width="11.7109375" bestFit="1" customWidth="1"/>
    <col min="13580" max="13580" width="15.7109375" bestFit="1" customWidth="1"/>
    <col min="13581" max="13581" width="10.5703125" bestFit="1" customWidth="1"/>
    <col min="13582" max="13582" width="13.28515625" bestFit="1" customWidth="1"/>
    <col min="13584" max="13584" width="18" bestFit="1" customWidth="1"/>
    <col min="13824" max="13824" width="47" customWidth="1"/>
    <col min="13825" max="13825" width="6" bestFit="1" customWidth="1"/>
    <col min="13826" max="13826" width="12.85546875" customWidth="1"/>
    <col min="13827" max="13827" width="13" customWidth="1"/>
    <col min="13828" max="13828" width="15.7109375" bestFit="1" customWidth="1"/>
    <col min="13829" max="13829" width="16.85546875" bestFit="1" customWidth="1"/>
    <col min="13830" max="13833" width="15.7109375" bestFit="1" customWidth="1"/>
    <col min="13834" max="13834" width="12.7109375" bestFit="1" customWidth="1"/>
    <col min="13835" max="13835" width="11.7109375" bestFit="1" customWidth="1"/>
    <col min="13836" max="13836" width="15.7109375" bestFit="1" customWidth="1"/>
    <col min="13837" max="13837" width="10.5703125" bestFit="1" customWidth="1"/>
    <col min="13838" max="13838" width="13.28515625" bestFit="1" customWidth="1"/>
    <col min="13840" max="13840" width="18" bestFit="1" customWidth="1"/>
    <col min="14080" max="14080" width="47" customWidth="1"/>
    <col min="14081" max="14081" width="6" bestFit="1" customWidth="1"/>
    <col min="14082" max="14082" width="12.85546875" customWidth="1"/>
    <col min="14083" max="14083" width="13" customWidth="1"/>
    <col min="14084" max="14084" width="15.7109375" bestFit="1" customWidth="1"/>
    <col min="14085" max="14085" width="16.85546875" bestFit="1" customWidth="1"/>
    <col min="14086" max="14089" width="15.7109375" bestFit="1" customWidth="1"/>
    <col min="14090" max="14090" width="12.7109375" bestFit="1" customWidth="1"/>
    <col min="14091" max="14091" width="11.7109375" bestFit="1" customWidth="1"/>
    <col min="14092" max="14092" width="15.7109375" bestFit="1" customWidth="1"/>
    <col min="14093" max="14093" width="10.5703125" bestFit="1" customWidth="1"/>
    <col min="14094" max="14094" width="13.28515625" bestFit="1" customWidth="1"/>
    <col min="14096" max="14096" width="18" bestFit="1" customWidth="1"/>
    <col min="14336" max="14336" width="47" customWidth="1"/>
    <col min="14337" max="14337" width="6" bestFit="1" customWidth="1"/>
    <col min="14338" max="14338" width="12.85546875" customWidth="1"/>
    <col min="14339" max="14339" width="13" customWidth="1"/>
    <col min="14340" max="14340" width="15.7109375" bestFit="1" customWidth="1"/>
    <col min="14341" max="14341" width="16.85546875" bestFit="1" customWidth="1"/>
    <col min="14342" max="14345" width="15.7109375" bestFit="1" customWidth="1"/>
    <col min="14346" max="14346" width="12.7109375" bestFit="1" customWidth="1"/>
    <col min="14347" max="14347" width="11.7109375" bestFit="1" customWidth="1"/>
    <col min="14348" max="14348" width="15.7109375" bestFit="1" customWidth="1"/>
    <col min="14349" max="14349" width="10.5703125" bestFit="1" customWidth="1"/>
    <col min="14350" max="14350" width="13.28515625" bestFit="1" customWidth="1"/>
    <col min="14352" max="14352" width="18" bestFit="1" customWidth="1"/>
    <col min="14592" max="14592" width="47" customWidth="1"/>
    <col min="14593" max="14593" width="6" bestFit="1" customWidth="1"/>
    <col min="14594" max="14594" width="12.85546875" customWidth="1"/>
    <col min="14595" max="14595" width="13" customWidth="1"/>
    <col min="14596" max="14596" width="15.7109375" bestFit="1" customWidth="1"/>
    <col min="14597" max="14597" width="16.85546875" bestFit="1" customWidth="1"/>
    <col min="14598" max="14601" width="15.7109375" bestFit="1" customWidth="1"/>
    <col min="14602" max="14602" width="12.7109375" bestFit="1" customWidth="1"/>
    <col min="14603" max="14603" width="11.7109375" bestFit="1" customWidth="1"/>
    <col min="14604" max="14604" width="15.7109375" bestFit="1" customWidth="1"/>
    <col min="14605" max="14605" width="10.5703125" bestFit="1" customWidth="1"/>
    <col min="14606" max="14606" width="13.28515625" bestFit="1" customWidth="1"/>
    <col min="14608" max="14608" width="18" bestFit="1" customWidth="1"/>
    <col min="14848" max="14848" width="47" customWidth="1"/>
    <col min="14849" max="14849" width="6" bestFit="1" customWidth="1"/>
    <col min="14850" max="14850" width="12.85546875" customWidth="1"/>
    <col min="14851" max="14851" width="13" customWidth="1"/>
    <col min="14852" max="14852" width="15.7109375" bestFit="1" customWidth="1"/>
    <col min="14853" max="14853" width="16.85546875" bestFit="1" customWidth="1"/>
    <col min="14854" max="14857" width="15.7109375" bestFit="1" customWidth="1"/>
    <col min="14858" max="14858" width="12.7109375" bestFit="1" customWidth="1"/>
    <col min="14859" max="14859" width="11.7109375" bestFit="1" customWidth="1"/>
    <col min="14860" max="14860" width="15.7109375" bestFit="1" customWidth="1"/>
    <col min="14861" max="14861" width="10.5703125" bestFit="1" customWidth="1"/>
    <col min="14862" max="14862" width="13.28515625" bestFit="1" customWidth="1"/>
    <col min="14864" max="14864" width="18" bestFit="1" customWidth="1"/>
    <col min="15104" max="15104" width="47" customWidth="1"/>
    <col min="15105" max="15105" width="6" bestFit="1" customWidth="1"/>
    <col min="15106" max="15106" width="12.85546875" customWidth="1"/>
    <col min="15107" max="15107" width="13" customWidth="1"/>
    <col min="15108" max="15108" width="15.7109375" bestFit="1" customWidth="1"/>
    <col min="15109" max="15109" width="16.85546875" bestFit="1" customWidth="1"/>
    <col min="15110" max="15113" width="15.7109375" bestFit="1" customWidth="1"/>
    <col min="15114" max="15114" width="12.7109375" bestFit="1" customWidth="1"/>
    <col min="15115" max="15115" width="11.7109375" bestFit="1" customWidth="1"/>
    <col min="15116" max="15116" width="15.7109375" bestFit="1" customWidth="1"/>
    <col min="15117" max="15117" width="10.5703125" bestFit="1" customWidth="1"/>
    <col min="15118" max="15118" width="13.28515625" bestFit="1" customWidth="1"/>
    <col min="15120" max="15120" width="18" bestFit="1" customWidth="1"/>
    <col min="15360" max="15360" width="47" customWidth="1"/>
    <col min="15361" max="15361" width="6" bestFit="1" customWidth="1"/>
    <col min="15362" max="15362" width="12.85546875" customWidth="1"/>
    <col min="15363" max="15363" width="13" customWidth="1"/>
    <col min="15364" max="15364" width="15.7109375" bestFit="1" customWidth="1"/>
    <col min="15365" max="15365" width="16.85546875" bestFit="1" customWidth="1"/>
    <col min="15366" max="15369" width="15.7109375" bestFit="1" customWidth="1"/>
    <col min="15370" max="15370" width="12.7109375" bestFit="1" customWidth="1"/>
    <col min="15371" max="15371" width="11.7109375" bestFit="1" customWidth="1"/>
    <col min="15372" max="15372" width="15.7109375" bestFit="1" customWidth="1"/>
    <col min="15373" max="15373" width="10.5703125" bestFit="1" customWidth="1"/>
    <col min="15374" max="15374" width="13.28515625" bestFit="1" customWidth="1"/>
    <col min="15376" max="15376" width="18" bestFit="1" customWidth="1"/>
    <col min="15616" max="15616" width="47" customWidth="1"/>
    <col min="15617" max="15617" width="6" bestFit="1" customWidth="1"/>
    <col min="15618" max="15618" width="12.85546875" customWidth="1"/>
    <col min="15619" max="15619" width="13" customWidth="1"/>
    <col min="15620" max="15620" width="15.7109375" bestFit="1" customWidth="1"/>
    <col min="15621" max="15621" width="16.85546875" bestFit="1" customWidth="1"/>
    <col min="15622" max="15625" width="15.7109375" bestFit="1" customWidth="1"/>
    <col min="15626" max="15626" width="12.7109375" bestFit="1" customWidth="1"/>
    <col min="15627" max="15627" width="11.7109375" bestFit="1" customWidth="1"/>
    <col min="15628" max="15628" width="15.7109375" bestFit="1" customWidth="1"/>
    <col min="15629" max="15629" width="10.5703125" bestFit="1" customWidth="1"/>
    <col min="15630" max="15630" width="13.28515625" bestFit="1" customWidth="1"/>
    <col min="15632" max="15632" width="18" bestFit="1" customWidth="1"/>
    <col min="15872" max="15872" width="47" customWidth="1"/>
    <col min="15873" max="15873" width="6" bestFit="1" customWidth="1"/>
    <col min="15874" max="15874" width="12.85546875" customWidth="1"/>
    <col min="15875" max="15875" width="13" customWidth="1"/>
    <col min="15876" max="15876" width="15.7109375" bestFit="1" customWidth="1"/>
    <col min="15877" max="15877" width="16.85546875" bestFit="1" customWidth="1"/>
    <col min="15878" max="15881" width="15.7109375" bestFit="1" customWidth="1"/>
    <col min="15882" max="15882" width="12.7109375" bestFit="1" customWidth="1"/>
    <col min="15883" max="15883" width="11.7109375" bestFit="1" customWidth="1"/>
    <col min="15884" max="15884" width="15.7109375" bestFit="1" customWidth="1"/>
    <col min="15885" max="15885" width="10.5703125" bestFit="1" customWidth="1"/>
    <col min="15886" max="15886" width="13.28515625" bestFit="1" customWidth="1"/>
    <col min="15888" max="15888" width="18" bestFit="1" customWidth="1"/>
    <col min="16128" max="16128" width="47" customWidth="1"/>
    <col min="16129" max="16129" width="6" bestFit="1" customWidth="1"/>
    <col min="16130" max="16130" width="12.85546875" customWidth="1"/>
    <col min="16131" max="16131" width="13" customWidth="1"/>
    <col min="16132" max="16132" width="15.7109375" bestFit="1" customWidth="1"/>
    <col min="16133" max="16133" width="16.85546875" bestFit="1" customWidth="1"/>
    <col min="16134" max="16137" width="15.7109375" bestFit="1" customWidth="1"/>
    <col min="16138" max="16138" width="12.7109375" bestFit="1" customWidth="1"/>
    <col min="16139" max="16139" width="11.7109375" bestFit="1" customWidth="1"/>
    <col min="16140" max="16140" width="15.7109375" bestFit="1" customWidth="1"/>
    <col min="16141" max="16141" width="10.5703125" bestFit="1" customWidth="1"/>
    <col min="16142" max="16142" width="13.28515625" bestFit="1" customWidth="1"/>
    <col min="16144" max="16144" width="18" bestFit="1" customWidth="1"/>
  </cols>
  <sheetData>
    <row r="1" spans="1:5" x14ac:dyDescent="0.25">
      <c r="A1" s="1" t="s">
        <v>128</v>
      </c>
    </row>
    <row r="2" spans="1:5" x14ac:dyDescent="0.25">
      <c r="A2" t="s">
        <v>129</v>
      </c>
    </row>
    <row r="5" spans="1:5" x14ac:dyDescent="0.25">
      <c r="A5" s="2" t="s">
        <v>0</v>
      </c>
      <c r="B5" s="2"/>
      <c r="C5" s="3" t="s">
        <v>1</v>
      </c>
    </row>
    <row r="6" spans="1:5" x14ac:dyDescent="0.25">
      <c r="A6" s="2" t="s">
        <v>2</v>
      </c>
      <c r="B6" s="2"/>
      <c r="C6" s="4" t="s">
        <v>79</v>
      </c>
    </row>
    <row r="7" spans="1:5" x14ac:dyDescent="0.25">
      <c r="A7" s="2" t="s">
        <v>3</v>
      </c>
      <c r="B7" s="2"/>
      <c r="C7" s="4" t="s">
        <v>80</v>
      </c>
    </row>
    <row r="8" spans="1:5" x14ac:dyDescent="0.25">
      <c r="A8" s="2" t="s">
        <v>4</v>
      </c>
      <c r="B8" s="2"/>
      <c r="C8" s="5">
        <v>42938</v>
      </c>
    </row>
    <row r="9" spans="1:5" x14ac:dyDescent="0.25">
      <c r="A9" s="2" t="s">
        <v>5</v>
      </c>
      <c r="B9" s="2"/>
      <c r="C9" s="6" t="s">
        <v>81</v>
      </c>
    </row>
    <row r="10" spans="1:5" x14ac:dyDescent="0.25">
      <c r="A10" s="7" t="s">
        <v>6</v>
      </c>
      <c r="B10" s="2" t="s">
        <v>7</v>
      </c>
      <c r="C10" s="8">
        <v>18</v>
      </c>
    </row>
    <row r="11" spans="1:5" x14ac:dyDescent="0.25">
      <c r="A11" s="2" t="s">
        <v>8</v>
      </c>
      <c r="B11" s="2" t="s">
        <v>7</v>
      </c>
      <c r="C11" s="9">
        <v>26.7</v>
      </c>
    </row>
    <row r="12" spans="1:5" x14ac:dyDescent="0.25">
      <c r="A12" s="2" t="s">
        <v>9</v>
      </c>
      <c r="B12" s="2" t="s">
        <v>7</v>
      </c>
      <c r="C12" s="9">
        <v>15</v>
      </c>
      <c r="E12" t="s">
        <v>10</v>
      </c>
    </row>
    <row r="13" spans="1:5" x14ac:dyDescent="0.25">
      <c r="A13" s="10" t="s">
        <v>11</v>
      </c>
      <c r="B13" s="2" t="s">
        <v>12</v>
      </c>
      <c r="C13" s="11">
        <f>(D13*(1+$C$12/100))/((100-$C$10)/100)</f>
        <v>2.5525091463414631</v>
      </c>
      <c r="D13" s="12">
        <v>1.8200499999999999</v>
      </c>
      <c r="E13" t="s">
        <v>13</v>
      </c>
    </row>
    <row r="14" spans="1:5" x14ac:dyDescent="0.25">
      <c r="A14" s="7" t="s">
        <v>14</v>
      </c>
      <c r="B14" s="2" t="s">
        <v>12</v>
      </c>
      <c r="C14" s="11">
        <f>(D14*(1+$C$12/100))/((100-$C$10)/100)</f>
        <v>2.0882176829268295</v>
      </c>
      <c r="D14" s="12">
        <v>1.48899</v>
      </c>
      <c r="E14" t="s">
        <v>13</v>
      </c>
    </row>
    <row r="15" spans="1:5" x14ac:dyDescent="0.25">
      <c r="A15" s="7" t="s">
        <v>15</v>
      </c>
      <c r="B15" s="2" t="s">
        <v>12</v>
      </c>
      <c r="C15" s="11">
        <f t="shared" ref="C15:C17" si="0">(D15*(1+$C$12/100))/((100-$C$10)/100)</f>
        <v>1.6177134146341463</v>
      </c>
      <c r="D15" s="12">
        <v>1.1535</v>
      </c>
      <c r="E15" t="s">
        <v>13</v>
      </c>
    </row>
    <row r="16" spans="1:5" x14ac:dyDescent="0.25">
      <c r="A16" s="7" t="s">
        <v>16</v>
      </c>
      <c r="B16" s="2" t="s">
        <v>12</v>
      </c>
      <c r="C16" s="11">
        <f t="shared" si="0"/>
        <v>1.6578231707317073</v>
      </c>
      <c r="D16" s="12">
        <v>1.1820999999999999</v>
      </c>
      <c r="E16" t="s">
        <v>13</v>
      </c>
    </row>
    <row r="17" spans="1:6" x14ac:dyDescent="0.25">
      <c r="A17" s="7" t="s">
        <v>17</v>
      </c>
      <c r="B17" s="2" t="s">
        <v>12</v>
      </c>
      <c r="C17" s="11">
        <f t="shared" si="0"/>
        <v>1.9404286585365853</v>
      </c>
      <c r="D17" s="12">
        <v>1.38361</v>
      </c>
      <c r="E17" t="s">
        <v>18</v>
      </c>
    </row>
    <row r="18" spans="1:6" x14ac:dyDescent="0.25">
      <c r="A18" s="7"/>
      <c r="B18" s="2"/>
      <c r="C18" s="11"/>
      <c r="D18" s="12"/>
    </row>
    <row r="19" spans="1:6" x14ac:dyDescent="0.25">
      <c r="A19" s="7" t="s">
        <v>19</v>
      </c>
      <c r="B19" s="13" t="s">
        <v>7</v>
      </c>
      <c r="C19" s="14">
        <v>16</v>
      </c>
      <c r="E19" s="15"/>
    </row>
    <row r="20" spans="1:6" x14ac:dyDescent="0.25">
      <c r="A20" s="7"/>
      <c r="B20" s="2"/>
      <c r="C20" s="2"/>
    </row>
    <row r="21" spans="1:6" x14ac:dyDescent="0.25">
      <c r="A21" s="2" t="s">
        <v>20</v>
      </c>
      <c r="B21" s="2" t="s">
        <v>12</v>
      </c>
      <c r="C21" s="11">
        <f>C13-(C13*C$19%)</f>
        <v>2.1441076829268289</v>
      </c>
      <c r="D21" s="16" t="s">
        <v>21</v>
      </c>
      <c r="E21" s="16"/>
      <c r="F21" s="16"/>
    </row>
    <row r="22" spans="1:6" x14ac:dyDescent="0.25">
      <c r="A22" s="2" t="s">
        <v>22</v>
      </c>
      <c r="B22" s="2" t="s">
        <v>12</v>
      </c>
      <c r="C22" s="11">
        <f>C14-(C14*C$19%)</f>
        <v>1.7541028536585368</v>
      </c>
      <c r="D22" s="16" t="s">
        <v>82</v>
      </c>
      <c r="E22" s="16"/>
      <c r="F22" s="16"/>
    </row>
    <row r="23" spans="1:6" x14ac:dyDescent="0.25">
      <c r="A23" s="2" t="s">
        <v>23</v>
      </c>
      <c r="B23" s="2" t="s">
        <v>12</v>
      </c>
      <c r="C23" s="11">
        <f>C15-(C15*C$19%)</f>
        <v>1.3588792682926829</v>
      </c>
    </row>
    <row r="24" spans="1:6" x14ac:dyDescent="0.25">
      <c r="A24" s="2" t="s">
        <v>24</v>
      </c>
      <c r="B24" s="2" t="s">
        <v>12</v>
      </c>
      <c r="C24" s="11">
        <f>C16-(C16*C$19%)</f>
        <v>1.392571463414634</v>
      </c>
    </row>
    <row r="25" spans="1:6" x14ac:dyDescent="0.25">
      <c r="A25" s="2" t="s">
        <v>25</v>
      </c>
      <c r="B25" s="2" t="s">
        <v>12</v>
      </c>
      <c r="C25" s="11">
        <f>C17-(C17*C$19%)</f>
        <v>1.6299600731707318</v>
      </c>
    </row>
    <row r="27" spans="1:6" x14ac:dyDescent="0.25">
      <c r="A27" s="10" t="s">
        <v>26</v>
      </c>
      <c r="B27" s="13"/>
      <c r="C27" s="7">
        <v>466.024</v>
      </c>
      <c r="D27" s="88" t="s">
        <v>83</v>
      </c>
    </row>
    <row r="28" spans="1:6" x14ac:dyDescent="0.25">
      <c r="A28" s="7" t="s">
        <v>27</v>
      </c>
      <c r="B28" s="13"/>
      <c r="C28" s="7">
        <v>417.79700000000003</v>
      </c>
      <c r="D28" s="88"/>
    </row>
    <row r="29" spans="1:6" x14ac:dyDescent="0.25">
      <c r="A29" s="7" t="s">
        <v>28</v>
      </c>
      <c r="B29" s="13"/>
      <c r="C29" s="7">
        <v>381.86399999999998</v>
      </c>
      <c r="D29" s="88"/>
    </row>
    <row r="30" spans="1:6" x14ac:dyDescent="0.25">
      <c r="A30" s="7" t="s">
        <v>29</v>
      </c>
      <c r="B30" s="13"/>
      <c r="C30" s="7">
        <v>591.40800000000002</v>
      </c>
      <c r="D30" s="88"/>
    </row>
    <row r="31" spans="1:6" x14ac:dyDescent="0.25">
      <c r="A31" s="7" t="s">
        <v>30</v>
      </c>
      <c r="B31" s="13"/>
      <c r="C31" s="7">
        <v>468.99599999999998</v>
      </c>
      <c r="D31" s="88"/>
    </row>
    <row r="32" spans="1:6" x14ac:dyDescent="0.25">
      <c r="A32" s="7" t="s">
        <v>31</v>
      </c>
      <c r="B32" s="13"/>
      <c r="C32" s="7">
        <v>480.721</v>
      </c>
      <c r="D32" s="88"/>
    </row>
    <row r="33" spans="1:4" x14ac:dyDescent="0.25">
      <c r="A33" s="10" t="s">
        <v>32</v>
      </c>
      <c r="B33" s="13"/>
      <c r="C33" s="17">
        <f>C30/C27-1</f>
        <v>0.26905052100321014</v>
      </c>
      <c r="D33" s="88"/>
    </row>
    <row r="34" spans="1:4" x14ac:dyDescent="0.25">
      <c r="A34" s="10" t="s">
        <v>33</v>
      </c>
      <c r="B34" s="13"/>
      <c r="C34" s="17">
        <f>C31/C28-1</f>
        <v>0.12254515949133182</v>
      </c>
      <c r="D34" s="88"/>
    </row>
    <row r="35" spans="1:4" x14ac:dyDescent="0.25">
      <c r="A35" s="10" t="s">
        <v>34</v>
      </c>
      <c r="B35" s="13"/>
      <c r="C35" s="17">
        <f>C32/C29-1</f>
        <v>0.25888012486120715</v>
      </c>
      <c r="D35" s="88"/>
    </row>
    <row r="36" spans="1:4" x14ac:dyDescent="0.25">
      <c r="A36" s="18"/>
      <c r="B36" s="19"/>
      <c r="C36" s="20"/>
      <c r="D36" s="21"/>
    </row>
    <row r="37" spans="1:4" x14ac:dyDescent="0.25">
      <c r="A37" s="10" t="s">
        <v>35</v>
      </c>
      <c r="B37" s="13" t="s">
        <v>12</v>
      </c>
      <c r="C37" s="22">
        <f>C21*($C$30/$C$27)</f>
        <v>2.720980972105278</v>
      </c>
      <c r="D37" s="21"/>
    </row>
    <row r="38" spans="1:4" x14ac:dyDescent="0.25">
      <c r="A38" s="7" t="s">
        <v>36</v>
      </c>
      <c r="B38" s="13" t="s">
        <v>12</v>
      </c>
      <c r="C38" s="22">
        <f>C22*($C$31/$C$28)</f>
        <v>1.9690596676243224</v>
      </c>
      <c r="D38" s="21"/>
    </row>
    <row r="39" spans="1:4" x14ac:dyDescent="0.25">
      <c r="A39" s="7" t="s">
        <v>37</v>
      </c>
      <c r="B39" s="13" t="s">
        <v>12</v>
      </c>
      <c r="C39" s="22">
        <f>C23*($C$31/$C$28)</f>
        <v>1.5254033449550741</v>
      </c>
      <c r="D39" s="21"/>
    </row>
    <row r="40" spans="1:4" x14ac:dyDescent="0.25">
      <c r="A40" s="7" t="s">
        <v>38</v>
      </c>
      <c r="B40" s="13" t="s">
        <v>12</v>
      </c>
      <c r="C40" s="22">
        <f>C24*($C$31/$C$28)</f>
        <v>1.5632243555018577</v>
      </c>
      <c r="D40" s="21"/>
    </row>
    <row r="41" spans="1:4" x14ac:dyDescent="0.25">
      <c r="A41" s="7" t="s">
        <v>39</v>
      </c>
      <c r="B41" s="13" t="s">
        <v>12</v>
      </c>
      <c r="C41" s="23">
        <f>C25*($C$32/$C$29)</f>
        <v>2.0519243404319534</v>
      </c>
      <c r="D41" s="21"/>
    </row>
    <row r="42" spans="1:4" x14ac:dyDescent="0.25">
      <c r="A42" s="24"/>
      <c r="B42" s="25"/>
      <c r="C42" s="24"/>
      <c r="D42" s="21"/>
    </row>
    <row r="43" spans="1:4" x14ac:dyDescent="0.25">
      <c r="A43" s="10" t="s">
        <v>40</v>
      </c>
      <c r="B43" s="13" t="s">
        <v>7</v>
      </c>
      <c r="C43" s="26">
        <f>(1-(C21/C13))*100</f>
        <v>16.000000000000004</v>
      </c>
      <c r="D43" s="21"/>
    </row>
    <row r="44" spans="1:4" x14ac:dyDescent="0.25">
      <c r="A44" s="7" t="s">
        <v>41</v>
      </c>
      <c r="B44" s="13" t="s">
        <v>7</v>
      </c>
      <c r="C44" s="26">
        <f>(1-(C22/C14))*100</f>
        <v>16.000000000000004</v>
      </c>
      <c r="D44" s="21"/>
    </row>
    <row r="45" spans="1:4" x14ac:dyDescent="0.25">
      <c r="A45" s="7" t="s">
        <v>42</v>
      </c>
      <c r="B45" s="13" t="s">
        <v>7</v>
      </c>
      <c r="C45" s="26">
        <f>(1-(C23/C15))*100</f>
        <v>16.000000000000004</v>
      </c>
      <c r="D45" s="21"/>
    </row>
    <row r="46" spans="1:4" x14ac:dyDescent="0.25">
      <c r="A46" s="7" t="s">
        <v>43</v>
      </c>
      <c r="B46" s="13" t="s">
        <v>7</v>
      </c>
      <c r="C46" s="26">
        <f>(1-(C24/C16))*100</f>
        <v>16.000000000000004</v>
      </c>
      <c r="D46" s="21"/>
    </row>
    <row r="47" spans="1:4" x14ac:dyDescent="0.25">
      <c r="A47" s="7" t="s">
        <v>44</v>
      </c>
      <c r="B47" s="13" t="s">
        <v>7</v>
      </c>
      <c r="C47" s="26">
        <f>(1-(C25/C17))*100</f>
        <v>15.999999999999993</v>
      </c>
      <c r="D47" s="21"/>
    </row>
    <row r="48" spans="1:4" x14ac:dyDescent="0.25">
      <c r="A48" s="18"/>
      <c r="B48" s="19"/>
      <c r="C48" s="20"/>
      <c r="D48" s="21"/>
    </row>
    <row r="49" spans="1:17" x14ac:dyDescent="0.25">
      <c r="A49" s="27" t="s">
        <v>45</v>
      </c>
      <c r="B49" s="2"/>
      <c r="C49" s="28">
        <v>43127</v>
      </c>
      <c r="D49" s="28">
        <v>43158</v>
      </c>
      <c r="E49" s="28">
        <v>43186</v>
      </c>
      <c r="F49" s="28">
        <v>43217</v>
      </c>
      <c r="G49" s="28">
        <v>43247</v>
      </c>
      <c r="H49" s="28">
        <v>43278</v>
      </c>
      <c r="I49" s="28">
        <v>43308</v>
      </c>
      <c r="J49" s="28">
        <v>43339</v>
      </c>
      <c r="K49" s="28">
        <v>43370</v>
      </c>
      <c r="L49" s="28">
        <v>43400</v>
      </c>
      <c r="M49" s="28">
        <v>43431</v>
      </c>
      <c r="N49" s="28">
        <v>43461</v>
      </c>
      <c r="O49" s="28" t="s">
        <v>46</v>
      </c>
    </row>
    <row r="50" spans="1:17" x14ac:dyDescent="0.25">
      <c r="A50" s="29" t="s">
        <v>47</v>
      </c>
      <c r="B50" s="30" t="s">
        <v>48</v>
      </c>
      <c r="C50" s="31"/>
      <c r="D50" s="31"/>
      <c r="E50" s="31"/>
      <c r="F50" s="31"/>
      <c r="G50" s="31"/>
      <c r="H50" s="31"/>
      <c r="I50" s="31">
        <v>88.94</v>
      </c>
      <c r="J50" s="31">
        <v>356.69</v>
      </c>
      <c r="K50" s="31">
        <v>18.575589999999998</v>
      </c>
      <c r="L50" s="31">
        <v>192.15418</v>
      </c>
      <c r="M50" s="31">
        <v>191.0788</v>
      </c>
      <c r="N50" s="31">
        <v>14.12345</v>
      </c>
      <c r="O50" s="32">
        <f>SUM(C50:N50)</f>
        <v>861.56202000000008</v>
      </c>
    </row>
    <row r="51" spans="1:17" x14ac:dyDescent="0.25">
      <c r="A51" s="2" t="s">
        <v>49</v>
      </c>
      <c r="B51" s="30" t="s">
        <v>48</v>
      </c>
      <c r="C51" s="31"/>
      <c r="D51" s="31"/>
      <c r="E51" s="31"/>
      <c r="F51" s="31"/>
      <c r="G51" s="31"/>
      <c r="H51" s="87">
        <v>504.6</v>
      </c>
      <c r="I51" s="31">
        <v>214.94</v>
      </c>
      <c r="J51" s="31">
        <v>862.53</v>
      </c>
      <c r="K51" s="31">
        <v>44.891010000000001</v>
      </c>
      <c r="L51" s="31">
        <v>464.37259999999998</v>
      </c>
      <c r="M51" s="31">
        <v>473.21940000000001</v>
      </c>
      <c r="N51" s="31">
        <v>399.97404</v>
      </c>
      <c r="O51" s="32">
        <f>SUM(C51:N51)</f>
        <v>2964.5270500000001</v>
      </c>
    </row>
    <row r="52" spans="1:17" x14ac:dyDescent="0.25">
      <c r="A52" s="7" t="s">
        <v>50</v>
      </c>
      <c r="B52" s="30" t="s">
        <v>48</v>
      </c>
      <c r="C52" s="31"/>
      <c r="D52" s="31"/>
      <c r="E52" s="31"/>
      <c r="F52" s="31"/>
      <c r="G52" s="31"/>
      <c r="H52" s="87">
        <f>69.6+0.35</f>
        <v>69.949999999999989</v>
      </c>
      <c r="I52" s="31"/>
      <c r="J52" s="31"/>
      <c r="K52" s="32"/>
      <c r="L52" s="32"/>
      <c r="M52" s="32"/>
      <c r="N52" s="32">
        <v>13.90596</v>
      </c>
      <c r="O52" s="32">
        <f>SUM(C52:N52)</f>
        <v>83.855959999999982</v>
      </c>
    </row>
    <row r="53" spans="1:17" x14ac:dyDescent="0.25">
      <c r="A53" s="2" t="s">
        <v>51</v>
      </c>
      <c r="B53" s="30" t="s">
        <v>48</v>
      </c>
      <c r="C53" s="31"/>
      <c r="D53" s="31"/>
      <c r="E53" s="31"/>
      <c r="F53" s="31"/>
      <c r="G53" s="31"/>
      <c r="H53" s="31"/>
      <c r="I53" s="31">
        <v>96.35</v>
      </c>
      <c r="J53" s="31">
        <v>386.42</v>
      </c>
      <c r="K53" s="33">
        <v>20.123560000000001</v>
      </c>
      <c r="L53" s="33">
        <v>208.16703000000001</v>
      </c>
      <c r="M53" s="33">
        <v>207.00202999999999</v>
      </c>
      <c r="N53" s="33">
        <v>24.38711</v>
      </c>
      <c r="O53" s="32">
        <f>SUM(C53:N53)</f>
        <v>942.44973000000005</v>
      </c>
    </row>
    <row r="54" spans="1:17" x14ac:dyDescent="0.25">
      <c r="A54" s="7" t="s">
        <v>52</v>
      </c>
      <c r="B54" s="30" t="s">
        <v>48</v>
      </c>
      <c r="C54" s="31"/>
      <c r="D54" s="31"/>
      <c r="E54" s="31"/>
      <c r="F54" s="31"/>
      <c r="G54" s="31"/>
      <c r="H54" s="87">
        <f>459.36+0.312+0.156</f>
        <v>459.82800000000003</v>
      </c>
      <c r="I54" s="31"/>
      <c r="J54" s="31"/>
      <c r="K54" s="33"/>
      <c r="L54" s="33"/>
      <c r="M54" s="31"/>
      <c r="N54" s="33">
        <v>137.66898</v>
      </c>
      <c r="O54" s="32">
        <f>SUM(C54:N54)</f>
        <v>597.49698000000001</v>
      </c>
    </row>
    <row r="55" spans="1:17" x14ac:dyDescent="0.25">
      <c r="A55" s="34"/>
      <c r="B55" s="35"/>
      <c r="C55" s="36"/>
      <c r="D55" s="36"/>
      <c r="E55" s="36"/>
      <c r="F55" s="36"/>
      <c r="G55" s="36"/>
      <c r="H55" s="36"/>
      <c r="I55" s="36"/>
      <c r="J55" s="36"/>
      <c r="L55" s="36"/>
      <c r="M55" s="36"/>
      <c r="N55" s="37"/>
      <c r="O55" s="38"/>
    </row>
    <row r="56" spans="1:17" x14ac:dyDescent="0.25">
      <c r="A56" s="27" t="s">
        <v>114</v>
      </c>
      <c r="B56" s="2"/>
      <c r="C56" s="28">
        <v>43096</v>
      </c>
      <c r="D56" s="28">
        <v>43127</v>
      </c>
      <c r="E56" s="28">
        <v>43158</v>
      </c>
      <c r="F56" s="28">
        <v>43186</v>
      </c>
      <c r="G56" s="28">
        <v>43217</v>
      </c>
      <c r="H56" s="28">
        <v>43247</v>
      </c>
      <c r="I56" s="28">
        <v>43278</v>
      </c>
      <c r="J56" s="28">
        <v>43308</v>
      </c>
      <c r="K56" s="28">
        <v>43339</v>
      </c>
      <c r="L56" s="28">
        <v>43370</v>
      </c>
      <c r="M56" s="28">
        <v>43400</v>
      </c>
      <c r="N56" s="28">
        <v>43431</v>
      </c>
    </row>
    <row r="57" spans="1:17" x14ac:dyDescent="0.25">
      <c r="A57" s="29" t="s">
        <v>53</v>
      </c>
      <c r="B57" s="2" t="s">
        <v>12</v>
      </c>
      <c r="C57" s="11"/>
      <c r="D57" s="11"/>
      <c r="E57" s="11"/>
      <c r="F57" s="11"/>
      <c r="G57" s="11"/>
      <c r="H57" s="11">
        <v>1.6126400000000001</v>
      </c>
      <c r="I57" s="11">
        <v>1.89669</v>
      </c>
      <c r="J57" s="11">
        <v>1.7043699999999999</v>
      </c>
      <c r="K57" s="39">
        <v>2.1440100000000002</v>
      </c>
      <c r="L57" s="39">
        <v>2.2616399999999999</v>
      </c>
      <c r="M57" s="39">
        <v>2.32003</v>
      </c>
      <c r="N57" s="39">
        <v>2.47756</v>
      </c>
    </row>
    <row r="58" spans="1:17" x14ac:dyDescent="0.25">
      <c r="A58" s="2" t="s">
        <v>54</v>
      </c>
      <c r="B58" s="2" t="s">
        <v>12</v>
      </c>
      <c r="C58" s="40"/>
      <c r="D58" s="40"/>
      <c r="E58" s="40"/>
      <c r="F58" s="40"/>
      <c r="G58" s="40"/>
      <c r="H58" s="40">
        <v>1.7477499999999999</v>
      </c>
      <c r="I58" s="11">
        <v>1.7933600000000001</v>
      </c>
      <c r="J58" s="40">
        <v>1.88269</v>
      </c>
      <c r="K58" s="41">
        <v>1.986627880880268</v>
      </c>
      <c r="L58" s="41">
        <v>2.0752999999999999</v>
      </c>
      <c r="M58" s="41">
        <v>2.1057700000000001</v>
      </c>
      <c r="N58" s="41">
        <v>2.3693499999999998</v>
      </c>
      <c r="P58" s="83"/>
      <c r="Q58" s="83"/>
    </row>
    <row r="59" spans="1:17" x14ac:dyDescent="0.25">
      <c r="A59" s="7" t="s">
        <v>55</v>
      </c>
      <c r="B59" s="2" t="s">
        <v>12</v>
      </c>
      <c r="C59" s="40"/>
      <c r="D59" s="40"/>
      <c r="E59" s="40"/>
      <c r="F59" s="40"/>
      <c r="G59" s="40"/>
      <c r="H59" s="40">
        <v>1.29535</v>
      </c>
      <c r="I59" s="40">
        <v>1.3999200000000001</v>
      </c>
      <c r="J59" s="40">
        <v>1.4309700000000001</v>
      </c>
      <c r="K59" s="39">
        <v>1.69153</v>
      </c>
      <c r="L59" s="39">
        <v>1.7984</v>
      </c>
      <c r="M59" s="39">
        <v>1.70441</v>
      </c>
      <c r="N59" s="39">
        <v>1.7802800000000001</v>
      </c>
      <c r="P59" s="84"/>
      <c r="Q59" s="85"/>
    </row>
    <row r="60" spans="1:17" x14ac:dyDescent="0.25">
      <c r="A60" s="2" t="s">
        <v>56</v>
      </c>
      <c r="B60" s="2" t="s">
        <v>12</v>
      </c>
      <c r="C60" s="11"/>
      <c r="D60" s="11"/>
      <c r="E60" s="11"/>
      <c r="F60" s="11"/>
      <c r="G60" s="11"/>
      <c r="H60" s="11">
        <v>1.38347</v>
      </c>
      <c r="I60" s="11">
        <v>1.46095</v>
      </c>
      <c r="J60" s="11">
        <v>1.5732900000000001</v>
      </c>
      <c r="K60" s="41">
        <v>1.68567</v>
      </c>
      <c r="L60" s="41">
        <v>1.68605</v>
      </c>
      <c r="M60" s="41">
        <v>1.6883300000000001</v>
      </c>
      <c r="N60" s="41">
        <v>1.8411999999999999</v>
      </c>
      <c r="P60" s="84"/>
      <c r="Q60" s="85"/>
    </row>
    <row r="61" spans="1:17" x14ac:dyDescent="0.25">
      <c r="A61" s="7" t="s">
        <v>120</v>
      </c>
      <c r="B61" s="2" t="s">
        <v>12</v>
      </c>
      <c r="C61" s="11"/>
      <c r="D61" s="11"/>
      <c r="E61" s="11"/>
      <c r="F61" s="11"/>
      <c r="G61" s="11"/>
      <c r="H61" s="11">
        <v>1.70408</v>
      </c>
      <c r="I61" s="11">
        <v>1.7933759217251921</v>
      </c>
      <c r="J61" s="11">
        <v>1.92425</v>
      </c>
      <c r="K61" s="39">
        <v>2.0710000000000002</v>
      </c>
      <c r="L61" s="42">
        <v>2.0699000000000001</v>
      </c>
      <c r="M61" s="42">
        <v>2.0588899999999999</v>
      </c>
      <c r="N61" s="42">
        <v>2.3496800000000002</v>
      </c>
      <c r="P61" s="84"/>
      <c r="Q61" s="85"/>
    </row>
    <row r="62" spans="1:17" x14ac:dyDescent="0.25">
      <c r="P62" s="84"/>
      <c r="Q62" s="85"/>
    </row>
    <row r="63" spans="1:17" x14ac:dyDescent="0.25">
      <c r="A63" s="27"/>
      <c r="B63" s="2"/>
      <c r="C63" s="28">
        <v>43127</v>
      </c>
      <c r="D63" s="28">
        <v>43158</v>
      </c>
      <c r="E63" s="28">
        <v>43186</v>
      </c>
      <c r="F63" s="28">
        <v>43217</v>
      </c>
      <c r="G63" s="28">
        <v>43247</v>
      </c>
      <c r="H63" s="28">
        <v>43278</v>
      </c>
      <c r="I63" s="28">
        <v>43308</v>
      </c>
      <c r="J63" s="28">
        <v>43339</v>
      </c>
      <c r="K63" s="28">
        <v>43370</v>
      </c>
      <c r="L63" s="28">
        <v>43400</v>
      </c>
      <c r="M63" s="28">
        <v>43431</v>
      </c>
      <c r="N63" s="28">
        <v>43461</v>
      </c>
      <c r="P63" s="84"/>
      <c r="Q63" s="85"/>
    </row>
    <row r="64" spans="1:17" x14ac:dyDescent="0.25">
      <c r="A64" s="10" t="s">
        <v>57</v>
      </c>
      <c r="B64" s="2" t="s">
        <v>12</v>
      </c>
      <c r="C64" s="43">
        <f t="shared" ref="C64:N64" si="1">ROUND(C57*(1+$C$12/100)/((100-$C$10)/100)*(100-$C$43)/100,5)</f>
        <v>0</v>
      </c>
      <c r="D64" s="43">
        <f t="shared" si="1"/>
        <v>0</v>
      </c>
      <c r="E64" s="43">
        <f t="shared" si="1"/>
        <v>0</v>
      </c>
      <c r="F64" s="43">
        <f t="shared" si="1"/>
        <v>0</v>
      </c>
      <c r="G64" s="43">
        <f t="shared" si="1"/>
        <v>0</v>
      </c>
      <c r="H64" s="43">
        <f t="shared" si="1"/>
        <v>1.89977</v>
      </c>
      <c r="I64" s="43">
        <f t="shared" si="1"/>
        <v>2.2343899999999999</v>
      </c>
      <c r="J64" s="43">
        <f t="shared" si="1"/>
        <v>2.0078299999999998</v>
      </c>
      <c r="K64" s="43">
        <f t="shared" si="1"/>
        <v>2.5257499999999999</v>
      </c>
      <c r="L64" s="43">
        <f t="shared" si="1"/>
        <v>2.66432</v>
      </c>
      <c r="M64" s="43">
        <f t="shared" si="1"/>
        <v>2.7331099999999999</v>
      </c>
      <c r="N64" s="43">
        <f t="shared" si="1"/>
        <v>2.9186899999999998</v>
      </c>
      <c r="P64" s="83"/>
      <c r="Q64" s="83"/>
    </row>
    <row r="65" spans="1:15" x14ac:dyDescent="0.25">
      <c r="A65" s="7" t="s">
        <v>58</v>
      </c>
      <c r="B65" s="2" t="s">
        <v>12</v>
      </c>
      <c r="C65" s="43">
        <f t="shared" ref="C65:N65" si="2">ROUND(C58*(1+$C$12/100)/((100-$C$10)/100)*(100-$C$43)/100,5)</f>
        <v>0</v>
      </c>
      <c r="D65" s="43">
        <f t="shared" si="2"/>
        <v>0</v>
      </c>
      <c r="E65" s="43">
        <f t="shared" si="2"/>
        <v>0</v>
      </c>
      <c r="F65" s="43">
        <f t="shared" si="2"/>
        <v>0</v>
      </c>
      <c r="G65" s="43">
        <f t="shared" si="2"/>
        <v>0</v>
      </c>
      <c r="H65" s="43">
        <f t="shared" si="2"/>
        <v>2.0589300000000001</v>
      </c>
      <c r="I65" s="43">
        <f t="shared" si="2"/>
        <v>2.11267</v>
      </c>
      <c r="J65" s="43">
        <f t="shared" si="2"/>
        <v>2.2179000000000002</v>
      </c>
      <c r="K65" s="43">
        <f t="shared" si="2"/>
        <v>2.3403399999999999</v>
      </c>
      <c r="L65" s="43">
        <f t="shared" si="2"/>
        <v>2.4447999999999999</v>
      </c>
      <c r="M65" s="43">
        <f t="shared" si="2"/>
        <v>2.4807000000000001</v>
      </c>
      <c r="N65" s="43">
        <f t="shared" si="2"/>
        <v>2.79121</v>
      </c>
    </row>
    <row r="66" spans="1:15" x14ac:dyDescent="0.25">
      <c r="A66" s="7" t="s">
        <v>59</v>
      </c>
      <c r="B66" s="2" t="s">
        <v>12</v>
      </c>
      <c r="C66" s="43">
        <f t="shared" ref="C66:N66" si="3">ROUND(C59*(1+$C$12/100)/((100-$C$10)/100)*(100-$C$43)/100,5)</f>
        <v>0</v>
      </c>
      <c r="D66" s="43">
        <f t="shared" si="3"/>
        <v>0</v>
      </c>
      <c r="E66" s="43">
        <f t="shared" si="3"/>
        <v>0</v>
      </c>
      <c r="F66" s="43">
        <f t="shared" si="3"/>
        <v>0</v>
      </c>
      <c r="G66" s="43">
        <f t="shared" si="3"/>
        <v>0</v>
      </c>
      <c r="H66" s="43">
        <f t="shared" si="3"/>
        <v>1.52599</v>
      </c>
      <c r="I66" s="43">
        <f t="shared" si="3"/>
        <v>1.64917</v>
      </c>
      <c r="J66" s="43">
        <f t="shared" si="3"/>
        <v>1.6857500000000001</v>
      </c>
      <c r="K66" s="43">
        <f t="shared" si="3"/>
        <v>1.9926999999999999</v>
      </c>
      <c r="L66" s="43">
        <f t="shared" si="3"/>
        <v>2.1185999999999998</v>
      </c>
      <c r="M66" s="43">
        <f t="shared" si="3"/>
        <v>2.0078800000000001</v>
      </c>
      <c r="N66" s="43">
        <f t="shared" si="3"/>
        <v>2.0972599999999999</v>
      </c>
    </row>
    <row r="67" spans="1:15" x14ac:dyDescent="0.25">
      <c r="A67" s="7" t="s">
        <v>60</v>
      </c>
      <c r="B67" s="2" t="s">
        <v>12</v>
      </c>
      <c r="C67" s="43">
        <f t="shared" ref="C67:N67" si="4">ROUND(C60*(1+$C$12/100)/((100-$C$10)/100)*(100-$C$43)/100,5)</f>
        <v>0</v>
      </c>
      <c r="D67" s="43">
        <f t="shared" si="4"/>
        <v>0</v>
      </c>
      <c r="E67" s="43">
        <f t="shared" si="4"/>
        <v>0</v>
      </c>
      <c r="F67" s="43">
        <f t="shared" si="4"/>
        <v>0</v>
      </c>
      <c r="G67" s="43">
        <f t="shared" si="4"/>
        <v>0</v>
      </c>
      <c r="H67" s="43">
        <f t="shared" si="4"/>
        <v>1.6297999999999999</v>
      </c>
      <c r="I67" s="43">
        <f t="shared" si="4"/>
        <v>1.7210700000000001</v>
      </c>
      <c r="J67" s="43">
        <f t="shared" si="4"/>
        <v>1.85341</v>
      </c>
      <c r="K67" s="43">
        <f t="shared" si="4"/>
        <v>1.9858</v>
      </c>
      <c r="L67" s="43">
        <f t="shared" si="4"/>
        <v>1.9862500000000001</v>
      </c>
      <c r="M67" s="43">
        <f t="shared" si="4"/>
        <v>1.9889399999999999</v>
      </c>
      <c r="N67" s="43">
        <f t="shared" si="4"/>
        <v>2.1690200000000002</v>
      </c>
    </row>
    <row r="68" spans="1:15" x14ac:dyDescent="0.25">
      <c r="A68" s="7" t="s">
        <v>61</v>
      </c>
      <c r="B68" s="2" t="s">
        <v>12</v>
      </c>
      <c r="C68" s="43">
        <f t="shared" ref="C68:N68" si="5">ROUND(C61*(1+$C$12/100)/((100-$C$10)/100)*(100-$C$43)/100,5)</f>
        <v>0</v>
      </c>
      <c r="D68" s="43">
        <f t="shared" si="5"/>
        <v>0</v>
      </c>
      <c r="E68" s="43">
        <f t="shared" si="5"/>
        <v>0</v>
      </c>
      <c r="F68" s="43">
        <f t="shared" si="5"/>
        <v>0</v>
      </c>
      <c r="G68" s="43">
        <f t="shared" si="5"/>
        <v>0</v>
      </c>
      <c r="H68" s="43">
        <f t="shared" si="5"/>
        <v>2.0074900000000002</v>
      </c>
      <c r="I68" s="43">
        <f t="shared" si="5"/>
        <v>2.1126800000000001</v>
      </c>
      <c r="J68" s="43">
        <f t="shared" si="5"/>
        <v>2.2668599999999999</v>
      </c>
      <c r="K68" s="43">
        <f t="shared" si="5"/>
        <v>2.43974</v>
      </c>
      <c r="L68" s="43">
        <f t="shared" si="5"/>
        <v>2.4384399999999999</v>
      </c>
      <c r="M68" s="43">
        <f t="shared" si="5"/>
        <v>2.4254699999999998</v>
      </c>
      <c r="N68" s="43">
        <f t="shared" si="5"/>
        <v>2.7680400000000001</v>
      </c>
    </row>
    <row r="70" spans="1:15" x14ac:dyDescent="0.25">
      <c r="A70" s="10" t="s">
        <v>62</v>
      </c>
      <c r="B70" s="2" t="s">
        <v>12</v>
      </c>
      <c r="C70" s="44"/>
      <c r="D70" s="44"/>
      <c r="E70" s="44"/>
      <c r="F70" s="44"/>
      <c r="G70" s="44"/>
      <c r="H70" s="44">
        <f>H64-$C21</f>
        <v>-0.24433768292682889</v>
      </c>
      <c r="I70" s="44">
        <f t="shared" ref="I70:K71" si="6">I64-$C37</f>
        <v>-0.48659097210527813</v>
      </c>
      <c r="J70" s="44">
        <f t="shared" si="6"/>
        <v>-0.71315097210527822</v>
      </c>
      <c r="K70" s="44">
        <f t="shared" si="6"/>
        <v>-0.19523097210527807</v>
      </c>
      <c r="L70" s="44">
        <f t="shared" ref="L70:N70" si="7">L64-$C37</f>
        <v>-5.6660972105277985E-2</v>
      </c>
      <c r="M70" s="44">
        <f t="shared" si="7"/>
        <v>1.2129027894721922E-2</v>
      </c>
      <c r="N70" s="44">
        <f t="shared" si="7"/>
        <v>0.19770902789472178</v>
      </c>
    </row>
    <row r="71" spans="1:15" x14ac:dyDescent="0.25">
      <c r="A71" s="7" t="s">
        <v>63</v>
      </c>
      <c r="B71" s="2" t="s">
        <v>12</v>
      </c>
      <c r="C71" s="44"/>
      <c r="D71" s="44"/>
      <c r="E71" s="44"/>
      <c r="F71" s="44"/>
      <c r="G71" s="44"/>
      <c r="H71" s="44">
        <f>H65-$C22</f>
        <v>0.30482714634146335</v>
      </c>
      <c r="I71" s="44">
        <f t="shared" si="6"/>
        <v>0.14361033237567766</v>
      </c>
      <c r="J71" s="44">
        <f t="shared" si="6"/>
        <v>0.24884033237567782</v>
      </c>
      <c r="K71" s="44">
        <f t="shared" si="6"/>
        <v>0.37128033237567748</v>
      </c>
      <c r="L71" s="44">
        <f t="shared" ref="L71:N71" si="8">L65-$C38</f>
        <v>0.47574033237567748</v>
      </c>
      <c r="M71" s="44">
        <f t="shared" si="8"/>
        <v>0.51164033237567774</v>
      </c>
      <c r="N71" s="44">
        <f t="shared" si="8"/>
        <v>0.82215033237567758</v>
      </c>
    </row>
    <row r="72" spans="1:15" x14ac:dyDescent="0.25">
      <c r="A72" s="7" t="s">
        <v>64</v>
      </c>
      <c r="B72" s="2" t="s">
        <v>12</v>
      </c>
      <c r="C72" s="44"/>
      <c r="D72" s="44"/>
      <c r="E72" s="44"/>
      <c r="F72" s="44"/>
      <c r="G72" s="44"/>
      <c r="H72" s="44">
        <f>H66-$C23</f>
        <v>0.16711073170731705</v>
      </c>
      <c r="I72" s="44">
        <f t="shared" ref="I72:J72" si="9">I66-$C39</f>
        <v>0.1237666550449259</v>
      </c>
      <c r="J72" s="44">
        <f t="shared" si="9"/>
        <v>0.16034665504492596</v>
      </c>
      <c r="K72" s="44">
        <f>K66-$C39</f>
        <v>0.46729665504492579</v>
      </c>
      <c r="L72" s="44">
        <f t="shared" ref="L72:N72" si="10">L66-$C39</f>
        <v>0.59319665504492569</v>
      </c>
      <c r="M72" s="44">
        <f t="shared" si="10"/>
        <v>0.48247665504492598</v>
      </c>
      <c r="N72" s="44">
        <f t="shared" si="10"/>
        <v>0.57185665504492578</v>
      </c>
    </row>
    <row r="73" spans="1:15" x14ac:dyDescent="0.25">
      <c r="A73" s="7" t="s">
        <v>65</v>
      </c>
      <c r="B73" s="2" t="s">
        <v>12</v>
      </c>
      <c r="C73" s="44"/>
      <c r="D73" s="44"/>
      <c r="E73" s="44"/>
      <c r="F73" s="44"/>
      <c r="G73" s="44"/>
      <c r="H73" s="44">
        <f>H67-$C24</f>
        <v>0.23722853658536591</v>
      </c>
      <c r="I73" s="44">
        <f t="shared" ref="I73:J73" si="11">I67-$C40</f>
        <v>0.15784564449814242</v>
      </c>
      <c r="J73" s="44">
        <f t="shared" si="11"/>
        <v>0.29018564449814233</v>
      </c>
      <c r="K73" s="44">
        <f>K67-$C40</f>
        <v>0.42257564449814233</v>
      </c>
      <c r="L73" s="44">
        <f t="shared" ref="L73:N73" si="12">L67-$C40</f>
        <v>0.42302564449814239</v>
      </c>
      <c r="M73" s="44">
        <f t="shared" si="12"/>
        <v>0.42571564449814225</v>
      </c>
      <c r="N73" s="44">
        <f t="shared" si="12"/>
        <v>0.60579564449814249</v>
      </c>
    </row>
    <row r="74" spans="1:15" x14ac:dyDescent="0.25">
      <c r="A74" s="7" t="s">
        <v>66</v>
      </c>
      <c r="B74" s="2" t="s">
        <v>12</v>
      </c>
      <c r="C74" s="44"/>
      <c r="D74" s="44"/>
      <c r="E74" s="44"/>
      <c r="F74" s="44"/>
      <c r="G74" s="44"/>
      <c r="H74" s="44">
        <f>H68-$C25</f>
        <v>0.37752992682926845</v>
      </c>
      <c r="I74" s="44">
        <f t="shared" ref="I74:J74" si="13">I68-$C41</f>
        <v>6.0755659568046738E-2</v>
      </c>
      <c r="J74" s="44">
        <f t="shared" si="13"/>
        <v>0.2149356595680465</v>
      </c>
      <c r="K74" s="44">
        <f>K68-$C41</f>
        <v>0.38781565956804664</v>
      </c>
      <c r="L74" s="44">
        <f t="shared" ref="L74:N74" si="14">L68-$C41</f>
        <v>0.38651565956804657</v>
      </c>
      <c r="M74" s="44">
        <f t="shared" si="14"/>
        <v>0.37354565956804642</v>
      </c>
      <c r="N74" s="44">
        <f t="shared" si="14"/>
        <v>0.71611565956804668</v>
      </c>
    </row>
    <row r="76" spans="1:15" x14ac:dyDescent="0.25">
      <c r="A76" s="10" t="s">
        <v>67</v>
      </c>
      <c r="B76" s="2" t="s">
        <v>68</v>
      </c>
      <c r="C76" s="45">
        <f t="shared" ref="C76:N76" si="15">C70*C50*1000</f>
        <v>0</v>
      </c>
      <c r="D76" s="45">
        <f t="shared" si="15"/>
        <v>0</v>
      </c>
      <c r="E76" s="45">
        <f t="shared" si="15"/>
        <v>0</v>
      </c>
      <c r="F76" s="45">
        <f t="shared" si="15"/>
        <v>0</v>
      </c>
      <c r="G76" s="45">
        <f t="shared" si="15"/>
        <v>0</v>
      </c>
      <c r="H76" s="45">
        <f t="shared" si="15"/>
        <v>0</v>
      </c>
      <c r="I76" s="45">
        <f t="shared" si="15"/>
        <v>-43277.401059043434</v>
      </c>
      <c r="J76" s="45">
        <f t="shared" si="15"/>
        <v>-254373.82024023167</v>
      </c>
      <c r="K76" s="45">
        <f t="shared" si="15"/>
        <v>-3626.5304931290816</v>
      </c>
      <c r="L76" s="45">
        <f t="shared" si="15"/>
        <v>-10887.642632892565</v>
      </c>
      <c r="M76" s="45">
        <f t="shared" si="15"/>
        <v>2317.6000952899913</v>
      </c>
      <c r="N76" s="45">
        <f t="shared" si="15"/>
        <v>2792.3335700197085</v>
      </c>
      <c r="O76" s="106">
        <f>SUM(C76:N76)</f>
        <v>-307055.46075998712</v>
      </c>
    </row>
    <row r="77" spans="1:15" x14ac:dyDescent="0.25">
      <c r="A77" s="7" t="s">
        <v>69</v>
      </c>
      <c r="B77" s="2" t="s">
        <v>68</v>
      </c>
      <c r="C77" s="45">
        <f t="shared" ref="C77:N77" si="16">C71*C51*1000</f>
        <v>0</v>
      </c>
      <c r="D77" s="45">
        <f t="shared" si="16"/>
        <v>0</v>
      </c>
      <c r="E77" s="45">
        <f t="shared" si="16"/>
        <v>0</v>
      </c>
      <c r="F77" s="45">
        <f t="shared" si="16"/>
        <v>0</v>
      </c>
      <c r="G77" s="45">
        <f t="shared" si="16"/>
        <v>0</v>
      </c>
      <c r="H77" s="45">
        <f t="shared" si="16"/>
        <v>153815.77804390242</v>
      </c>
      <c r="I77" s="45">
        <f t="shared" si="16"/>
        <v>30867.604840828157</v>
      </c>
      <c r="J77" s="45">
        <f t="shared" si="16"/>
        <v>214632.25188399339</v>
      </c>
      <c r="K77" s="45">
        <f t="shared" si="16"/>
        <v>16667.149113479863</v>
      </c>
      <c r="L77" s="45">
        <f t="shared" si="16"/>
        <v>220920.77507015751</v>
      </c>
      <c r="M77" s="45">
        <f t="shared" si="16"/>
        <v>242118.13110261879</v>
      </c>
      <c r="N77" s="45">
        <f t="shared" si="16"/>
        <v>328838.78992764256</v>
      </c>
      <c r="O77" s="46">
        <f>SUM(C77:N77)</f>
        <v>1207860.4799826227</v>
      </c>
    </row>
    <row r="78" spans="1:15" x14ac:dyDescent="0.25">
      <c r="A78" s="7" t="s">
        <v>70</v>
      </c>
      <c r="B78" s="2" t="s">
        <v>68</v>
      </c>
      <c r="C78" s="45">
        <f t="shared" ref="C78:N78" si="17">C72*C52*1000</f>
        <v>0</v>
      </c>
      <c r="D78" s="45">
        <f t="shared" si="17"/>
        <v>0</v>
      </c>
      <c r="E78" s="45">
        <f t="shared" si="17"/>
        <v>0</v>
      </c>
      <c r="F78" s="45">
        <f t="shared" si="17"/>
        <v>0</v>
      </c>
      <c r="G78" s="45">
        <f t="shared" si="17"/>
        <v>0</v>
      </c>
      <c r="H78" s="45">
        <f t="shared" si="17"/>
        <v>11689.395682926826</v>
      </c>
      <c r="I78" s="45">
        <f t="shared" si="17"/>
        <v>0</v>
      </c>
      <c r="J78" s="45">
        <f t="shared" si="17"/>
        <v>0</v>
      </c>
      <c r="K78" s="45">
        <f t="shared" si="17"/>
        <v>0</v>
      </c>
      <c r="L78" s="45">
        <f t="shared" si="17"/>
        <v>0</v>
      </c>
      <c r="M78" s="45">
        <f t="shared" si="17"/>
        <v>0</v>
      </c>
      <c r="N78" s="45">
        <f t="shared" si="17"/>
        <v>7952.2157707885362</v>
      </c>
      <c r="O78" s="46">
        <f>SUM(C78:N78)</f>
        <v>19641.611453715363</v>
      </c>
    </row>
    <row r="79" spans="1:15" x14ac:dyDescent="0.25">
      <c r="A79" s="7" t="s">
        <v>71</v>
      </c>
      <c r="B79" s="2" t="s">
        <v>68</v>
      </c>
      <c r="C79" s="45">
        <f t="shared" ref="C79:N79" si="18">C73*C53*1000</f>
        <v>0</v>
      </c>
      <c r="D79" s="45">
        <f t="shared" si="18"/>
        <v>0</v>
      </c>
      <c r="E79" s="45">
        <f t="shared" si="18"/>
        <v>0</v>
      </c>
      <c r="F79" s="45">
        <f t="shared" si="18"/>
        <v>0</v>
      </c>
      <c r="G79" s="45">
        <f t="shared" si="18"/>
        <v>0</v>
      </c>
      <c r="H79" s="45">
        <f t="shared" si="18"/>
        <v>0</v>
      </c>
      <c r="I79" s="45">
        <f t="shared" si="18"/>
        <v>15208.427847396022</v>
      </c>
      <c r="J79" s="45">
        <f t="shared" si="18"/>
        <v>112133.53674697217</v>
      </c>
      <c r="K79" s="45">
        <f t="shared" si="18"/>
        <v>8503.7263365970375</v>
      </c>
      <c r="L79" s="45">
        <f t="shared" si="18"/>
        <v>88059.99202901416</v>
      </c>
      <c r="M79" s="45">
        <f t="shared" si="18"/>
        <v>88124.002613873774</v>
      </c>
      <c r="N79" s="45">
        <f t="shared" si="18"/>
        <v>14773.605019897095</v>
      </c>
      <c r="O79" s="46">
        <f>SUM(C79:N79)</f>
        <v>326803.29059375025</v>
      </c>
    </row>
    <row r="80" spans="1:15" x14ac:dyDescent="0.25">
      <c r="A80" s="7" t="s">
        <v>72</v>
      </c>
      <c r="B80" s="2" t="s">
        <v>68</v>
      </c>
      <c r="C80" s="45">
        <f t="shared" ref="C80:N80" si="19">C74*C54*1000</f>
        <v>0</v>
      </c>
      <c r="D80" s="45">
        <f t="shared" si="19"/>
        <v>0</v>
      </c>
      <c r="E80" s="45">
        <f t="shared" si="19"/>
        <v>0</v>
      </c>
      <c r="F80" s="45">
        <f t="shared" si="19"/>
        <v>0</v>
      </c>
      <c r="G80" s="45">
        <f t="shared" si="19"/>
        <v>0</v>
      </c>
      <c r="H80" s="45">
        <f t="shared" si="19"/>
        <v>173598.83119404886</v>
      </c>
      <c r="I80" s="45">
        <f t="shared" si="19"/>
        <v>0</v>
      </c>
      <c r="J80" s="45">
        <f t="shared" si="19"/>
        <v>0</v>
      </c>
      <c r="K80" s="45">
        <f t="shared" si="19"/>
        <v>0</v>
      </c>
      <c r="L80" s="45">
        <f t="shared" si="19"/>
        <v>0</v>
      </c>
      <c r="M80" s="45">
        <f t="shared" si="19"/>
        <v>0</v>
      </c>
      <c r="N80" s="45">
        <f t="shared" si="19"/>
        <v>98586.912414760242</v>
      </c>
      <c r="O80" s="46">
        <f>SUM(C80:N80)</f>
        <v>272185.74360880908</v>
      </c>
    </row>
    <row r="81" spans="1:15" x14ac:dyDescent="0.25">
      <c r="O81" s="47">
        <f>SUM(O76:O80)</f>
        <v>1519435.6648789102</v>
      </c>
    </row>
    <row r="83" spans="1:15" x14ac:dyDescent="0.25">
      <c r="A83" s="2" t="str">
        <f>"Serviços Medidos BDI normal (" &amp; C11 &amp;"%) PI+R"</f>
        <v>Serviços Medidos BDI normal (26,7%) PI+R</v>
      </c>
      <c r="B83" s="2" t="s">
        <v>68</v>
      </c>
      <c r="C83" s="48">
        <f t="shared" ref="C83:M83" si="20">C85-C84</f>
        <v>0</v>
      </c>
      <c r="D83" s="48">
        <f t="shared" si="20"/>
        <v>0</v>
      </c>
      <c r="E83" s="48">
        <f t="shared" si="20"/>
        <v>0</v>
      </c>
      <c r="F83" s="48">
        <f t="shared" si="20"/>
        <v>0</v>
      </c>
      <c r="G83" s="48">
        <f t="shared" si="20"/>
        <v>0</v>
      </c>
      <c r="H83" s="48">
        <f t="shared" si="20"/>
        <v>960817.31212501507</v>
      </c>
      <c r="I83" s="48">
        <f t="shared" si="20"/>
        <v>832524.51072918065</v>
      </c>
      <c r="J83" s="48">
        <f t="shared" si="20"/>
        <v>1013560.2264907341</v>
      </c>
      <c r="K83" s="48">
        <f t="shared" si="20"/>
        <v>495729.8067230478</v>
      </c>
      <c r="L83" s="48">
        <f t="shared" si="20"/>
        <v>2805414.7037911792</v>
      </c>
      <c r="M83" s="48">
        <f t="shared" si="20"/>
        <v>2573361.251615583</v>
      </c>
      <c r="N83" s="48">
        <f>N85-N84</f>
        <v>1992957.2778332077</v>
      </c>
      <c r="O83" s="49">
        <f>SUM(C83:N83)</f>
        <v>10674365.089307949</v>
      </c>
    </row>
    <row r="84" spans="1:15" x14ac:dyDescent="0.25">
      <c r="A84" s="2" t="str">
        <f>"Serviços Medidos BDI diferenciado (" &amp; C12 &amp;"%) PI+R"</f>
        <v>Serviços Medidos BDI diferenciado (15%) PI+R</v>
      </c>
      <c r="B84" s="2" t="s">
        <v>68</v>
      </c>
      <c r="C84" s="48">
        <f t="shared" ref="C84:L84" si="21">((C50*$C37)+(C51*$C38)+(C52*$C39)+(C53*$C40)+(C54*$C41))*1000</f>
        <v>0</v>
      </c>
      <c r="D84" s="48">
        <f t="shared" si="21"/>
        <v>0</v>
      </c>
      <c r="E84" s="48">
        <f t="shared" si="21"/>
        <v>0</v>
      </c>
      <c r="F84" s="48">
        <f t="shared" si="21"/>
        <v>0</v>
      </c>
      <c r="G84" s="48">
        <f t="shared" si="21"/>
        <v>0</v>
      </c>
      <c r="H84" s="48">
        <f t="shared" si="21"/>
        <v>2043821.7378749847</v>
      </c>
      <c r="I84" s="48">
        <f t="shared" si="21"/>
        <v>815850.39927081927</v>
      </c>
      <c r="J84" s="48">
        <f t="shared" si="21"/>
        <v>3272980.893509266</v>
      </c>
      <c r="K84" s="48">
        <f t="shared" si="21"/>
        <v>170394.54327695217</v>
      </c>
      <c r="L84" s="48">
        <f t="shared" si="21"/>
        <v>1762636.996208821</v>
      </c>
      <c r="M84" s="48">
        <f>((M50*$C37)+(M51*$C38)+(M52*$C39)+(M53*$C40)+(M54*$C41))*1000</f>
        <v>1775309.6283844172</v>
      </c>
      <c r="N84" s="48">
        <f>((N50*$C37)+(N51*$C38)+(N52*$C39)+(N53*$C40)+(N54*$C41))*1000</f>
        <v>1167823.442166792</v>
      </c>
      <c r="O84" s="49">
        <f>SUM(C84:N84)</f>
        <v>11008817.640692053</v>
      </c>
    </row>
    <row r="85" spans="1:15" x14ac:dyDescent="0.25">
      <c r="A85" s="2" t="s">
        <v>73</v>
      </c>
      <c r="B85" s="2" t="s">
        <v>68</v>
      </c>
      <c r="C85" s="50"/>
      <c r="D85" s="50"/>
      <c r="E85" s="50"/>
      <c r="F85" s="50"/>
      <c r="G85" s="50"/>
      <c r="H85" s="50">
        <v>3004639.05</v>
      </c>
      <c r="I85" s="50">
        <v>1648374.91</v>
      </c>
      <c r="J85" s="50">
        <v>4286541.12</v>
      </c>
      <c r="K85" s="50">
        <v>666124.35</v>
      </c>
      <c r="L85" s="50">
        <v>4568051.7</v>
      </c>
      <c r="M85" s="50">
        <f>3956974.22+391696.66</f>
        <v>4348670.88</v>
      </c>
      <c r="N85" s="48">
        <f>2879033.98+281746.74</f>
        <v>3160780.7199999997</v>
      </c>
      <c r="O85" s="49">
        <f>SUM(C85:N85)</f>
        <v>21683182.729999997</v>
      </c>
    </row>
    <row r="87" spans="1:15" x14ac:dyDescent="0.25">
      <c r="C87" s="51" t="s">
        <v>126</v>
      </c>
      <c r="D87" s="52"/>
      <c r="E87" s="52"/>
      <c r="F87" s="53"/>
      <c r="M87" s="54"/>
      <c r="N87" s="55" t="s">
        <v>127</v>
      </c>
      <c r="O87" s="56">
        <f>O81/O85</f>
        <v>7.007438362711757E-2</v>
      </c>
    </row>
    <row r="89" spans="1:15" x14ac:dyDescent="0.25">
      <c r="C89" s="57"/>
      <c r="D89" s="58"/>
      <c r="E89" s="59" t="s">
        <v>74</v>
      </c>
      <c r="F89" s="60">
        <f>SUM(C76:N80)</f>
        <v>1519435.6648789104</v>
      </c>
      <c r="H89" s="61"/>
    </row>
    <row r="90" spans="1:15" x14ac:dyDescent="0.25">
      <c r="C90" s="57"/>
      <c r="D90" s="58"/>
      <c r="E90" s="59" t="s">
        <v>75</v>
      </c>
      <c r="F90" s="60">
        <f>SUM(C85:N85)</f>
        <v>21683182.729999997</v>
      </c>
    </row>
    <row r="91" spans="1:15" x14ac:dyDescent="0.25">
      <c r="C91" s="57"/>
      <c r="D91" s="58"/>
      <c r="E91" s="59" t="s">
        <v>76</v>
      </c>
      <c r="F91" s="62">
        <f>F89/F90</f>
        <v>7.0074383627117584E-2</v>
      </c>
    </row>
    <row r="93" spans="1:15" x14ac:dyDescent="0.25">
      <c r="C93" s="57"/>
      <c r="D93" s="58"/>
      <c r="E93" s="59" t="str">
        <f>"Lucro Operacional BDI de " &amp; C11 &amp; " %"</f>
        <v>Lucro Operacional BDI de 26,7 %</v>
      </c>
      <c r="F93" s="63">
        <v>7.1999999999999995E-2</v>
      </c>
    </row>
    <row r="94" spans="1:15" x14ac:dyDescent="0.25">
      <c r="C94" s="57"/>
      <c r="D94" s="58"/>
      <c r="E94" s="59" t="str">
        <f>"Lucro Operacional BDI de " &amp; C12 &amp; " %"</f>
        <v>Lucro Operacional BDI de 15 %</v>
      </c>
      <c r="F94" s="63">
        <v>5.11E-2</v>
      </c>
    </row>
    <row r="95" spans="1:15" x14ac:dyDescent="0.25">
      <c r="C95" s="57"/>
      <c r="D95" s="58"/>
      <c r="E95" s="59" t="s">
        <v>77</v>
      </c>
      <c r="F95" s="64">
        <f>(F93*SUM(C83:N83)+F94*SUM(C84:N84))/SUM(C85:N85)</f>
        <v>6.1388813830723844E-2</v>
      </c>
    </row>
    <row r="97" spans="3:6" x14ac:dyDescent="0.25">
      <c r="C97" s="57"/>
      <c r="D97" s="58"/>
      <c r="E97" s="65" t="s">
        <v>78</v>
      </c>
      <c r="F97" s="66" t="str">
        <f>IF(F91&gt;F95, "SIM", "NÃO")</f>
        <v>SIM</v>
      </c>
    </row>
    <row r="99" spans="3:6" x14ac:dyDescent="0.25">
      <c r="C99" s="67" t="str">
        <f>IF(F97="SIM", "PROMOVER REEQUILÍBRIO DO CONTRATO","NÃO DEVE-SE PROMOVER O REEQUILÍBRIO DO CONTRATO")</f>
        <v>PROMOVER REEQUILÍBRIO DO CONTRATO</v>
      </c>
      <c r="D99" s="68"/>
      <c r="E99" s="68"/>
      <c r="F99" s="69"/>
    </row>
  </sheetData>
  <mergeCells count="1">
    <mergeCell ref="D27:D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V17" sqref="V17"/>
    </sheetView>
  </sheetViews>
  <sheetFormatPr defaultRowHeight="15" x14ac:dyDescent="0.25"/>
  <cols>
    <col min="1" max="3" width="9.140625" style="24"/>
    <col min="4" max="4" width="14.140625" style="24" customWidth="1"/>
    <col min="5" max="6" width="9.140625" style="24"/>
    <col min="7" max="7" width="14.85546875" style="24" customWidth="1"/>
    <col min="8" max="8" width="4.5703125" style="24" customWidth="1"/>
    <col min="9" max="9" width="12.42578125" style="24" customWidth="1"/>
    <col min="10" max="10" width="8.28515625" style="24" customWidth="1"/>
    <col min="11" max="11" width="13.42578125" style="24" customWidth="1"/>
    <col min="12" max="12" width="12.140625" style="24" customWidth="1"/>
    <col min="13" max="259" width="9.140625" style="24"/>
    <col min="260" max="260" width="14.140625" style="24" customWidth="1"/>
    <col min="261" max="262" width="9.140625" style="24"/>
    <col min="263" max="263" width="14.85546875" style="24" customWidth="1"/>
    <col min="264" max="264" width="4.5703125" style="24" customWidth="1"/>
    <col min="265" max="265" width="12.42578125" style="24" customWidth="1"/>
    <col min="266" max="266" width="8.28515625" style="24" customWidth="1"/>
    <col min="267" max="267" width="13.42578125" style="24" customWidth="1"/>
    <col min="268" max="268" width="12.140625" style="24" customWidth="1"/>
    <col min="269" max="515" width="9.140625" style="24"/>
    <col min="516" max="516" width="14.140625" style="24" customWidth="1"/>
    <col min="517" max="518" width="9.140625" style="24"/>
    <col min="519" max="519" width="14.85546875" style="24" customWidth="1"/>
    <col min="520" max="520" width="4.5703125" style="24" customWidth="1"/>
    <col min="521" max="521" width="12.42578125" style="24" customWidth="1"/>
    <col min="522" max="522" width="8.28515625" style="24" customWidth="1"/>
    <col min="523" max="523" width="13.42578125" style="24" customWidth="1"/>
    <col min="524" max="524" width="12.140625" style="24" customWidth="1"/>
    <col min="525" max="771" width="9.140625" style="24"/>
    <col min="772" max="772" width="14.140625" style="24" customWidth="1"/>
    <col min="773" max="774" width="9.140625" style="24"/>
    <col min="775" max="775" width="14.85546875" style="24" customWidth="1"/>
    <col min="776" max="776" width="4.5703125" style="24" customWidth="1"/>
    <col min="777" max="777" width="12.42578125" style="24" customWidth="1"/>
    <col min="778" max="778" width="8.28515625" style="24" customWidth="1"/>
    <col min="779" max="779" width="13.42578125" style="24" customWidth="1"/>
    <col min="780" max="780" width="12.140625" style="24" customWidth="1"/>
    <col min="781" max="1027" width="9.140625" style="24"/>
    <col min="1028" max="1028" width="14.140625" style="24" customWidth="1"/>
    <col min="1029" max="1030" width="9.140625" style="24"/>
    <col min="1031" max="1031" width="14.85546875" style="24" customWidth="1"/>
    <col min="1032" max="1032" width="4.5703125" style="24" customWidth="1"/>
    <col min="1033" max="1033" width="12.42578125" style="24" customWidth="1"/>
    <col min="1034" max="1034" width="8.28515625" style="24" customWidth="1"/>
    <col min="1035" max="1035" width="13.42578125" style="24" customWidth="1"/>
    <col min="1036" max="1036" width="12.140625" style="24" customWidth="1"/>
    <col min="1037" max="1283" width="9.140625" style="24"/>
    <col min="1284" max="1284" width="14.140625" style="24" customWidth="1"/>
    <col min="1285" max="1286" width="9.140625" style="24"/>
    <col min="1287" max="1287" width="14.85546875" style="24" customWidth="1"/>
    <col min="1288" max="1288" width="4.5703125" style="24" customWidth="1"/>
    <col min="1289" max="1289" width="12.42578125" style="24" customWidth="1"/>
    <col min="1290" max="1290" width="8.28515625" style="24" customWidth="1"/>
    <col min="1291" max="1291" width="13.42578125" style="24" customWidth="1"/>
    <col min="1292" max="1292" width="12.140625" style="24" customWidth="1"/>
    <col min="1293" max="1539" width="9.140625" style="24"/>
    <col min="1540" max="1540" width="14.140625" style="24" customWidth="1"/>
    <col min="1541" max="1542" width="9.140625" style="24"/>
    <col min="1543" max="1543" width="14.85546875" style="24" customWidth="1"/>
    <col min="1544" max="1544" width="4.5703125" style="24" customWidth="1"/>
    <col min="1545" max="1545" width="12.42578125" style="24" customWidth="1"/>
    <col min="1546" max="1546" width="8.28515625" style="24" customWidth="1"/>
    <col min="1547" max="1547" width="13.42578125" style="24" customWidth="1"/>
    <col min="1548" max="1548" width="12.140625" style="24" customWidth="1"/>
    <col min="1549" max="1795" width="9.140625" style="24"/>
    <col min="1796" max="1796" width="14.140625" style="24" customWidth="1"/>
    <col min="1797" max="1798" width="9.140625" style="24"/>
    <col min="1799" max="1799" width="14.85546875" style="24" customWidth="1"/>
    <col min="1800" max="1800" width="4.5703125" style="24" customWidth="1"/>
    <col min="1801" max="1801" width="12.42578125" style="24" customWidth="1"/>
    <col min="1802" max="1802" width="8.28515625" style="24" customWidth="1"/>
    <col min="1803" max="1803" width="13.42578125" style="24" customWidth="1"/>
    <col min="1804" max="1804" width="12.140625" style="24" customWidth="1"/>
    <col min="1805" max="2051" width="9.140625" style="24"/>
    <col min="2052" max="2052" width="14.140625" style="24" customWidth="1"/>
    <col min="2053" max="2054" width="9.140625" style="24"/>
    <col min="2055" max="2055" width="14.85546875" style="24" customWidth="1"/>
    <col min="2056" max="2056" width="4.5703125" style="24" customWidth="1"/>
    <col min="2057" max="2057" width="12.42578125" style="24" customWidth="1"/>
    <col min="2058" max="2058" width="8.28515625" style="24" customWidth="1"/>
    <col min="2059" max="2059" width="13.42578125" style="24" customWidth="1"/>
    <col min="2060" max="2060" width="12.140625" style="24" customWidth="1"/>
    <col min="2061" max="2307" width="9.140625" style="24"/>
    <col min="2308" max="2308" width="14.140625" style="24" customWidth="1"/>
    <col min="2309" max="2310" width="9.140625" style="24"/>
    <col min="2311" max="2311" width="14.85546875" style="24" customWidth="1"/>
    <col min="2312" max="2312" width="4.5703125" style="24" customWidth="1"/>
    <col min="2313" max="2313" width="12.42578125" style="24" customWidth="1"/>
    <col min="2314" max="2314" width="8.28515625" style="24" customWidth="1"/>
    <col min="2315" max="2315" width="13.42578125" style="24" customWidth="1"/>
    <col min="2316" max="2316" width="12.140625" style="24" customWidth="1"/>
    <col min="2317" max="2563" width="9.140625" style="24"/>
    <col min="2564" max="2564" width="14.140625" style="24" customWidth="1"/>
    <col min="2565" max="2566" width="9.140625" style="24"/>
    <col min="2567" max="2567" width="14.85546875" style="24" customWidth="1"/>
    <col min="2568" max="2568" width="4.5703125" style="24" customWidth="1"/>
    <col min="2569" max="2569" width="12.42578125" style="24" customWidth="1"/>
    <col min="2570" max="2570" width="8.28515625" style="24" customWidth="1"/>
    <col min="2571" max="2571" width="13.42578125" style="24" customWidth="1"/>
    <col min="2572" max="2572" width="12.140625" style="24" customWidth="1"/>
    <col min="2573" max="2819" width="9.140625" style="24"/>
    <col min="2820" max="2820" width="14.140625" style="24" customWidth="1"/>
    <col min="2821" max="2822" width="9.140625" style="24"/>
    <col min="2823" max="2823" width="14.85546875" style="24" customWidth="1"/>
    <col min="2824" max="2824" width="4.5703125" style="24" customWidth="1"/>
    <col min="2825" max="2825" width="12.42578125" style="24" customWidth="1"/>
    <col min="2826" max="2826" width="8.28515625" style="24" customWidth="1"/>
    <col min="2827" max="2827" width="13.42578125" style="24" customWidth="1"/>
    <col min="2828" max="2828" width="12.140625" style="24" customWidth="1"/>
    <col min="2829" max="3075" width="9.140625" style="24"/>
    <col min="3076" max="3076" width="14.140625" style="24" customWidth="1"/>
    <col min="3077" max="3078" width="9.140625" style="24"/>
    <col min="3079" max="3079" width="14.85546875" style="24" customWidth="1"/>
    <col min="3080" max="3080" width="4.5703125" style="24" customWidth="1"/>
    <col min="3081" max="3081" width="12.42578125" style="24" customWidth="1"/>
    <col min="3082" max="3082" width="8.28515625" style="24" customWidth="1"/>
    <col min="3083" max="3083" width="13.42578125" style="24" customWidth="1"/>
    <col min="3084" max="3084" width="12.140625" style="24" customWidth="1"/>
    <col min="3085" max="3331" width="9.140625" style="24"/>
    <col min="3332" max="3332" width="14.140625" style="24" customWidth="1"/>
    <col min="3333" max="3334" width="9.140625" style="24"/>
    <col min="3335" max="3335" width="14.85546875" style="24" customWidth="1"/>
    <col min="3336" max="3336" width="4.5703125" style="24" customWidth="1"/>
    <col min="3337" max="3337" width="12.42578125" style="24" customWidth="1"/>
    <col min="3338" max="3338" width="8.28515625" style="24" customWidth="1"/>
    <col min="3339" max="3339" width="13.42578125" style="24" customWidth="1"/>
    <col min="3340" max="3340" width="12.140625" style="24" customWidth="1"/>
    <col min="3341" max="3587" width="9.140625" style="24"/>
    <col min="3588" max="3588" width="14.140625" style="24" customWidth="1"/>
    <col min="3589" max="3590" width="9.140625" style="24"/>
    <col min="3591" max="3591" width="14.85546875" style="24" customWidth="1"/>
    <col min="3592" max="3592" width="4.5703125" style="24" customWidth="1"/>
    <col min="3593" max="3593" width="12.42578125" style="24" customWidth="1"/>
    <col min="3594" max="3594" width="8.28515625" style="24" customWidth="1"/>
    <col min="3595" max="3595" width="13.42578125" style="24" customWidth="1"/>
    <col min="3596" max="3596" width="12.140625" style="24" customWidth="1"/>
    <col min="3597" max="3843" width="9.140625" style="24"/>
    <col min="3844" max="3844" width="14.140625" style="24" customWidth="1"/>
    <col min="3845" max="3846" width="9.140625" style="24"/>
    <col min="3847" max="3847" width="14.85546875" style="24" customWidth="1"/>
    <col min="3848" max="3848" width="4.5703125" style="24" customWidth="1"/>
    <col min="3849" max="3849" width="12.42578125" style="24" customWidth="1"/>
    <col min="3850" max="3850" width="8.28515625" style="24" customWidth="1"/>
    <col min="3851" max="3851" width="13.42578125" style="24" customWidth="1"/>
    <col min="3852" max="3852" width="12.140625" style="24" customWidth="1"/>
    <col min="3853" max="4099" width="9.140625" style="24"/>
    <col min="4100" max="4100" width="14.140625" style="24" customWidth="1"/>
    <col min="4101" max="4102" width="9.140625" style="24"/>
    <col min="4103" max="4103" width="14.85546875" style="24" customWidth="1"/>
    <col min="4104" max="4104" width="4.5703125" style="24" customWidth="1"/>
    <col min="4105" max="4105" width="12.42578125" style="24" customWidth="1"/>
    <col min="4106" max="4106" width="8.28515625" style="24" customWidth="1"/>
    <col min="4107" max="4107" width="13.42578125" style="24" customWidth="1"/>
    <col min="4108" max="4108" width="12.140625" style="24" customWidth="1"/>
    <col min="4109" max="4355" width="9.140625" style="24"/>
    <col min="4356" max="4356" width="14.140625" style="24" customWidth="1"/>
    <col min="4357" max="4358" width="9.140625" style="24"/>
    <col min="4359" max="4359" width="14.85546875" style="24" customWidth="1"/>
    <col min="4360" max="4360" width="4.5703125" style="24" customWidth="1"/>
    <col min="4361" max="4361" width="12.42578125" style="24" customWidth="1"/>
    <col min="4362" max="4362" width="8.28515625" style="24" customWidth="1"/>
    <col min="4363" max="4363" width="13.42578125" style="24" customWidth="1"/>
    <col min="4364" max="4364" width="12.140625" style="24" customWidth="1"/>
    <col min="4365" max="4611" width="9.140625" style="24"/>
    <col min="4612" max="4612" width="14.140625" style="24" customWidth="1"/>
    <col min="4613" max="4614" width="9.140625" style="24"/>
    <col min="4615" max="4615" width="14.85546875" style="24" customWidth="1"/>
    <col min="4616" max="4616" width="4.5703125" style="24" customWidth="1"/>
    <col min="4617" max="4617" width="12.42578125" style="24" customWidth="1"/>
    <col min="4618" max="4618" width="8.28515625" style="24" customWidth="1"/>
    <col min="4619" max="4619" width="13.42578125" style="24" customWidth="1"/>
    <col min="4620" max="4620" width="12.140625" style="24" customWidth="1"/>
    <col min="4621" max="4867" width="9.140625" style="24"/>
    <col min="4868" max="4868" width="14.140625" style="24" customWidth="1"/>
    <col min="4869" max="4870" width="9.140625" style="24"/>
    <col min="4871" max="4871" width="14.85546875" style="24" customWidth="1"/>
    <col min="4872" max="4872" width="4.5703125" style="24" customWidth="1"/>
    <col min="4873" max="4873" width="12.42578125" style="24" customWidth="1"/>
    <col min="4874" max="4874" width="8.28515625" style="24" customWidth="1"/>
    <col min="4875" max="4875" width="13.42578125" style="24" customWidth="1"/>
    <col min="4876" max="4876" width="12.140625" style="24" customWidth="1"/>
    <col min="4877" max="5123" width="9.140625" style="24"/>
    <col min="5124" max="5124" width="14.140625" style="24" customWidth="1"/>
    <col min="5125" max="5126" width="9.140625" style="24"/>
    <col min="5127" max="5127" width="14.85546875" style="24" customWidth="1"/>
    <col min="5128" max="5128" width="4.5703125" style="24" customWidth="1"/>
    <col min="5129" max="5129" width="12.42578125" style="24" customWidth="1"/>
    <col min="5130" max="5130" width="8.28515625" style="24" customWidth="1"/>
    <col min="5131" max="5131" width="13.42578125" style="24" customWidth="1"/>
    <col min="5132" max="5132" width="12.140625" style="24" customWidth="1"/>
    <col min="5133" max="5379" width="9.140625" style="24"/>
    <col min="5380" max="5380" width="14.140625" style="24" customWidth="1"/>
    <col min="5381" max="5382" width="9.140625" style="24"/>
    <col min="5383" max="5383" width="14.85546875" style="24" customWidth="1"/>
    <col min="5384" max="5384" width="4.5703125" style="24" customWidth="1"/>
    <col min="5385" max="5385" width="12.42578125" style="24" customWidth="1"/>
    <col min="5386" max="5386" width="8.28515625" style="24" customWidth="1"/>
    <col min="5387" max="5387" width="13.42578125" style="24" customWidth="1"/>
    <col min="5388" max="5388" width="12.140625" style="24" customWidth="1"/>
    <col min="5389" max="5635" width="9.140625" style="24"/>
    <col min="5636" max="5636" width="14.140625" style="24" customWidth="1"/>
    <col min="5637" max="5638" width="9.140625" style="24"/>
    <col min="5639" max="5639" width="14.85546875" style="24" customWidth="1"/>
    <col min="5640" max="5640" width="4.5703125" style="24" customWidth="1"/>
    <col min="5641" max="5641" width="12.42578125" style="24" customWidth="1"/>
    <col min="5642" max="5642" width="8.28515625" style="24" customWidth="1"/>
    <col min="5643" max="5643" width="13.42578125" style="24" customWidth="1"/>
    <col min="5644" max="5644" width="12.140625" style="24" customWidth="1"/>
    <col min="5645" max="5891" width="9.140625" style="24"/>
    <col min="5892" max="5892" width="14.140625" style="24" customWidth="1"/>
    <col min="5893" max="5894" width="9.140625" style="24"/>
    <col min="5895" max="5895" width="14.85546875" style="24" customWidth="1"/>
    <col min="5896" max="5896" width="4.5703125" style="24" customWidth="1"/>
    <col min="5897" max="5897" width="12.42578125" style="24" customWidth="1"/>
    <col min="5898" max="5898" width="8.28515625" style="24" customWidth="1"/>
    <col min="5899" max="5899" width="13.42578125" style="24" customWidth="1"/>
    <col min="5900" max="5900" width="12.140625" style="24" customWidth="1"/>
    <col min="5901" max="6147" width="9.140625" style="24"/>
    <col min="6148" max="6148" width="14.140625" style="24" customWidth="1"/>
    <col min="6149" max="6150" width="9.140625" style="24"/>
    <col min="6151" max="6151" width="14.85546875" style="24" customWidth="1"/>
    <col min="6152" max="6152" width="4.5703125" style="24" customWidth="1"/>
    <col min="6153" max="6153" width="12.42578125" style="24" customWidth="1"/>
    <col min="6154" max="6154" width="8.28515625" style="24" customWidth="1"/>
    <col min="6155" max="6155" width="13.42578125" style="24" customWidth="1"/>
    <col min="6156" max="6156" width="12.140625" style="24" customWidth="1"/>
    <col min="6157" max="6403" width="9.140625" style="24"/>
    <col min="6404" max="6404" width="14.140625" style="24" customWidth="1"/>
    <col min="6405" max="6406" width="9.140625" style="24"/>
    <col min="6407" max="6407" width="14.85546875" style="24" customWidth="1"/>
    <col min="6408" max="6408" width="4.5703125" style="24" customWidth="1"/>
    <col min="6409" max="6409" width="12.42578125" style="24" customWidth="1"/>
    <col min="6410" max="6410" width="8.28515625" style="24" customWidth="1"/>
    <col min="6411" max="6411" width="13.42578125" style="24" customWidth="1"/>
    <col min="6412" max="6412" width="12.140625" style="24" customWidth="1"/>
    <col min="6413" max="6659" width="9.140625" style="24"/>
    <col min="6660" max="6660" width="14.140625" style="24" customWidth="1"/>
    <col min="6661" max="6662" width="9.140625" style="24"/>
    <col min="6663" max="6663" width="14.85546875" style="24" customWidth="1"/>
    <col min="6664" max="6664" width="4.5703125" style="24" customWidth="1"/>
    <col min="6665" max="6665" width="12.42578125" style="24" customWidth="1"/>
    <col min="6666" max="6666" width="8.28515625" style="24" customWidth="1"/>
    <col min="6667" max="6667" width="13.42578125" style="24" customWidth="1"/>
    <col min="6668" max="6668" width="12.140625" style="24" customWidth="1"/>
    <col min="6669" max="6915" width="9.140625" style="24"/>
    <col min="6916" max="6916" width="14.140625" style="24" customWidth="1"/>
    <col min="6917" max="6918" width="9.140625" style="24"/>
    <col min="6919" max="6919" width="14.85546875" style="24" customWidth="1"/>
    <col min="6920" max="6920" width="4.5703125" style="24" customWidth="1"/>
    <col min="6921" max="6921" width="12.42578125" style="24" customWidth="1"/>
    <col min="6922" max="6922" width="8.28515625" style="24" customWidth="1"/>
    <col min="6923" max="6923" width="13.42578125" style="24" customWidth="1"/>
    <col min="6924" max="6924" width="12.140625" style="24" customWidth="1"/>
    <col min="6925" max="7171" width="9.140625" style="24"/>
    <col min="7172" max="7172" width="14.140625" style="24" customWidth="1"/>
    <col min="7173" max="7174" width="9.140625" style="24"/>
    <col min="7175" max="7175" width="14.85546875" style="24" customWidth="1"/>
    <col min="7176" max="7176" width="4.5703125" style="24" customWidth="1"/>
    <col min="7177" max="7177" width="12.42578125" style="24" customWidth="1"/>
    <col min="7178" max="7178" width="8.28515625" style="24" customWidth="1"/>
    <col min="7179" max="7179" width="13.42578125" style="24" customWidth="1"/>
    <col min="7180" max="7180" width="12.140625" style="24" customWidth="1"/>
    <col min="7181" max="7427" width="9.140625" style="24"/>
    <col min="7428" max="7428" width="14.140625" style="24" customWidth="1"/>
    <col min="7429" max="7430" width="9.140625" style="24"/>
    <col min="7431" max="7431" width="14.85546875" style="24" customWidth="1"/>
    <col min="7432" max="7432" width="4.5703125" style="24" customWidth="1"/>
    <col min="7433" max="7433" width="12.42578125" style="24" customWidth="1"/>
    <col min="7434" max="7434" width="8.28515625" style="24" customWidth="1"/>
    <col min="7435" max="7435" width="13.42578125" style="24" customWidth="1"/>
    <col min="7436" max="7436" width="12.140625" style="24" customWidth="1"/>
    <col min="7437" max="7683" width="9.140625" style="24"/>
    <col min="7684" max="7684" width="14.140625" style="24" customWidth="1"/>
    <col min="7685" max="7686" width="9.140625" style="24"/>
    <col min="7687" max="7687" width="14.85546875" style="24" customWidth="1"/>
    <col min="7688" max="7688" width="4.5703125" style="24" customWidth="1"/>
    <col min="7689" max="7689" width="12.42578125" style="24" customWidth="1"/>
    <col min="7690" max="7690" width="8.28515625" style="24" customWidth="1"/>
    <col min="7691" max="7691" width="13.42578125" style="24" customWidth="1"/>
    <col min="7692" max="7692" width="12.140625" style="24" customWidth="1"/>
    <col min="7693" max="7939" width="9.140625" style="24"/>
    <col min="7940" max="7940" width="14.140625" style="24" customWidth="1"/>
    <col min="7941" max="7942" width="9.140625" style="24"/>
    <col min="7943" max="7943" width="14.85546875" style="24" customWidth="1"/>
    <col min="7944" max="7944" width="4.5703125" style="24" customWidth="1"/>
    <col min="7945" max="7945" width="12.42578125" style="24" customWidth="1"/>
    <col min="7946" max="7946" width="8.28515625" style="24" customWidth="1"/>
    <col min="7947" max="7947" width="13.42578125" style="24" customWidth="1"/>
    <col min="7948" max="7948" width="12.140625" style="24" customWidth="1"/>
    <col min="7949" max="8195" width="9.140625" style="24"/>
    <col min="8196" max="8196" width="14.140625" style="24" customWidth="1"/>
    <col min="8197" max="8198" width="9.140625" style="24"/>
    <col min="8199" max="8199" width="14.85546875" style="24" customWidth="1"/>
    <col min="8200" max="8200" width="4.5703125" style="24" customWidth="1"/>
    <col min="8201" max="8201" width="12.42578125" style="24" customWidth="1"/>
    <col min="8202" max="8202" width="8.28515625" style="24" customWidth="1"/>
    <col min="8203" max="8203" width="13.42578125" style="24" customWidth="1"/>
    <col min="8204" max="8204" width="12.140625" style="24" customWidth="1"/>
    <col min="8205" max="8451" width="9.140625" style="24"/>
    <col min="8452" max="8452" width="14.140625" style="24" customWidth="1"/>
    <col min="8453" max="8454" width="9.140625" style="24"/>
    <col min="8455" max="8455" width="14.85546875" style="24" customWidth="1"/>
    <col min="8456" max="8456" width="4.5703125" style="24" customWidth="1"/>
    <col min="8457" max="8457" width="12.42578125" style="24" customWidth="1"/>
    <col min="8458" max="8458" width="8.28515625" style="24" customWidth="1"/>
    <col min="8459" max="8459" width="13.42578125" style="24" customWidth="1"/>
    <col min="8460" max="8460" width="12.140625" style="24" customWidth="1"/>
    <col min="8461" max="8707" width="9.140625" style="24"/>
    <col min="8708" max="8708" width="14.140625" style="24" customWidth="1"/>
    <col min="8709" max="8710" width="9.140625" style="24"/>
    <col min="8711" max="8711" width="14.85546875" style="24" customWidth="1"/>
    <col min="8712" max="8712" width="4.5703125" style="24" customWidth="1"/>
    <col min="8713" max="8713" width="12.42578125" style="24" customWidth="1"/>
    <col min="8714" max="8714" width="8.28515625" style="24" customWidth="1"/>
    <col min="8715" max="8715" width="13.42578125" style="24" customWidth="1"/>
    <col min="8716" max="8716" width="12.140625" style="24" customWidth="1"/>
    <col min="8717" max="8963" width="9.140625" style="24"/>
    <col min="8964" max="8964" width="14.140625" style="24" customWidth="1"/>
    <col min="8965" max="8966" width="9.140625" style="24"/>
    <col min="8967" max="8967" width="14.85546875" style="24" customWidth="1"/>
    <col min="8968" max="8968" width="4.5703125" style="24" customWidth="1"/>
    <col min="8969" max="8969" width="12.42578125" style="24" customWidth="1"/>
    <col min="8970" max="8970" width="8.28515625" style="24" customWidth="1"/>
    <col min="8971" max="8971" width="13.42578125" style="24" customWidth="1"/>
    <col min="8972" max="8972" width="12.140625" style="24" customWidth="1"/>
    <col min="8973" max="9219" width="9.140625" style="24"/>
    <col min="9220" max="9220" width="14.140625" style="24" customWidth="1"/>
    <col min="9221" max="9222" width="9.140625" style="24"/>
    <col min="9223" max="9223" width="14.85546875" style="24" customWidth="1"/>
    <col min="9224" max="9224" width="4.5703125" style="24" customWidth="1"/>
    <col min="9225" max="9225" width="12.42578125" style="24" customWidth="1"/>
    <col min="9226" max="9226" width="8.28515625" style="24" customWidth="1"/>
    <col min="9227" max="9227" width="13.42578125" style="24" customWidth="1"/>
    <col min="9228" max="9228" width="12.140625" style="24" customWidth="1"/>
    <col min="9229" max="9475" width="9.140625" style="24"/>
    <col min="9476" max="9476" width="14.140625" style="24" customWidth="1"/>
    <col min="9477" max="9478" width="9.140625" style="24"/>
    <col min="9479" max="9479" width="14.85546875" style="24" customWidth="1"/>
    <col min="9480" max="9480" width="4.5703125" style="24" customWidth="1"/>
    <col min="9481" max="9481" width="12.42578125" style="24" customWidth="1"/>
    <col min="9482" max="9482" width="8.28515625" style="24" customWidth="1"/>
    <col min="9483" max="9483" width="13.42578125" style="24" customWidth="1"/>
    <col min="9484" max="9484" width="12.140625" style="24" customWidth="1"/>
    <col min="9485" max="9731" width="9.140625" style="24"/>
    <col min="9732" max="9732" width="14.140625" style="24" customWidth="1"/>
    <col min="9733" max="9734" width="9.140625" style="24"/>
    <col min="9735" max="9735" width="14.85546875" style="24" customWidth="1"/>
    <col min="9736" max="9736" width="4.5703125" style="24" customWidth="1"/>
    <col min="9737" max="9737" width="12.42578125" style="24" customWidth="1"/>
    <col min="9738" max="9738" width="8.28515625" style="24" customWidth="1"/>
    <col min="9739" max="9739" width="13.42578125" style="24" customWidth="1"/>
    <col min="9740" max="9740" width="12.140625" style="24" customWidth="1"/>
    <col min="9741" max="9987" width="9.140625" style="24"/>
    <col min="9988" max="9988" width="14.140625" style="24" customWidth="1"/>
    <col min="9989" max="9990" width="9.140625" style="24"/>
    <col min="9991" max="9991" width="14.85546875" style="24" customWidth="1"/>
    <col min="9992" max="9992" width="4.5703125" style="24" customWidth="1"/>
    <col min="9993" max="9993" width="12.42578125" style="24" customWidth="1"/>
    <col min="9994" max="9994" width="8.28515625" style="24" customWidth="1"/>
    <col min="9995" max="9995" width="13.42578125" style="24" customWidth="1"/>
    <col min="9996" max="9996" width="12.140625" style="24" customWidth="1"/>
    <col min="9997" max="10243" width="9.140625" style="24"/>
    <col min="10244" max="10244" width="14.140625" style="24" customWidth="1"/>
    <col min="10245" max="10246" width="9.140625" style="24"/>
    <col min="10247" max="10247" width="14.85546875" style="24" customWidth="1"/>
    <col min="10248" max="10248" width="4.5703125" style="24" customWidth="1"/>
    <col min="10249" max="10249" width="12.42578125" style="24" customWidth="1"/>
    <col min="10250" max="10250" width="8.28515625" style="24" customWidth="1"/>
    <col min="10251" max="10251" width="13.42578125" style="24" customWidth="1"/>
    <col min="10252" max="10252" width="12.140625" style="24" customWidth="1"/>
    <col min="10253" max="10499" width="9.140625" style="24"/>
    <col min="10500" max="10500" width="14.140625" style="24" customWidth="1"/>
    <col min="10501" max="10502" width="9.140625" style="24"/>
    <col min="10503" max="10503" width="14.85546875" style="24" customWidth="1"/>
    <col min="10504" max="10504" width="4.5703125" style="24" customWidth="1"/>
    <col min="10505" max="10505" width="12.42578125" style="24" customWidth="1"/>
    <col min="10506" max="10506" width="8.28515625" style="24" customWidth="1"/>
    <col min="10507" max="10507" width="13.42578125" style="24" customWidth="1"/>
    <col min="10508" max="10508" width="12.140625" style="24" customWidth="1"/>
    <col min="10509" max="10755" width="9.140625" style="24"/>
    <col min="10756" max="10756" width="14.140625" style="24" customWidth="1"/>
    <col min="10757" max="10758" width="9.140625" style="24"/>
    <col min="10759" max="10759" width="14.85546875" style="24" customWidth="1"/>
    <col min="10760" max="10760" width="4.5703125" style="24" customWidth="1"/>
    <col min="10761" max="10761" width="12.42578125" style="24" customWidth="1"/>
    <col min="10762" max="10762" width="8.28515625" style="24" customWidth="1"/>
    <col min="10763" max="10763" width="13.42578125" style="24" customWidth="1"/>
    <col min="10764" max="10764" width="12.140625" style="24" customWidth="1"/>
    <col min="10765" max="11011" width="9.140625" style="24"/>
    <col min="11012" max="11012" width="14.140625" style="24" customWidth="1"/>
    <col min="11013" max="11014" width="9.140625" style="24"/>
    <col min="11015" max="11015" width="14.85546875" style="24" customWidth="1"/>
    <col min="11016" max="11016" width="4.5703125" style="24" customWidth="1"/>
    <col min="11017" max="11017" width="12.42578125" style="24" customWidth="1"/>
    <col min="11018" max="11018" width="8.28515625" style="24" customWidth="1"/>
    <col min="11019" max="11019" width="13.42578125" style="24" customWidth="1"/>
    <col min="11020" max="11020" width="12.140625" style="24" customWidth="1"/>
    <col min="11021" max="11267" width="9.140625" style="24"/>
    <col min="11268" max="11268" width="14.140625" style="24" customWidth="1"/>
    <col min="11269" max="11270" width="9.140625" style="24"/>
    <col min="11271" max="11271" width="14.85546875" style="24" customWidth="1"/>
    <col min="11272" max="11272" width="4.5703125" style="24" customWidth="1"/>
    <col min="11273" max="11273" width="12.42578125" style="24" customWidth="1"/>
    <col min="11274" max="11274" width="8.28515625" style="24" customWidth="1"/>
    <col min="11275" max="11275" width="13.42578125" style="24" customWidth="1"/>
    <col min="11276" max="11276" width="12.140625" style="24" customWidth="1"/>
    <col min="11277" max="11523" width="9.140625" style="24"/>
    <col min="11524" max="11524" width="14.140625" style="24" customWidth="1"/>
    <col min="11525" max="11526" width="9.140625" style="24"/>
    <col min="11527" max="11527" width="14.85546875" style="24" customWidth="1"/>
    <col min="11528" max="11528" width="4.5703125" style="24" customWidth="1"/>
    <col min="11529" max="11529" width="12.42578125" style="24" customWidth="1"/>
    <col min="11530" max="11530" width="8.28515625" style="24" customWidth="1"/>
    <col min="11531" max="11531" width="13.42578125" style="24" customWidth="1"/>
    <col min="11532" max="11532" width="12.140625" style="24" customWidth="1"/>
    <col min="11533" max="11779" width="9.140625" style="24"/>
    <col min="11780" max="11780" width="14.140625" style="24" customWidth="1"/>
    <col min="11781" max="11782" width="9.140625" style="24"/>
    <col min="11783" max="11783" width="14.85546875" style="24" customWidth="1"/>
    <col min="11784" max="11784" width="4.5703125" style="24" customWidth="1"/>
    <col min="11785" max="11785" width="12.42578125" style="24" customWidth="1"/>
    <col min="11786" max="11786" width="8.28515625" style="24" customWidth="1"/>
    <col min="11787" max="11787" width="13.42578125" style="24" customWidth="1"/>
    <col min="11788" max="11788" width="12.140625" style="24" customWidth="1"/>
    <col min="11789" max="12035" width="9.140625" style="24"/>
    <col min="12036" max="12036" width="14.140625" style="24" customWidth="1"/>
    <col min="12037" max="12038" width="9.140625" style="24"/>
    <col min="12039" max="12039" width="14.85546875" style="24" customWidth="1"/>
    <col min="12040" max="12040" width="4.5703125" style="24" customWidth="1"/>
    <col min="12041" max="12041" width="12.42578125" style="24" customWidth="1"/>
    <col min="12042" max="12042" width="8.28515625" style="24" customWidth="1"/>
    <col min="12043" max="12043" width="13.42578125" style="24" customWidth="1"/>
    <col min="12044" max="12044" width="12.140625" style="24" customWidth="1"/>
    <col min="12045" max="12291" width="9.140625" style="24"/>
    <col min="12292" max="12292" width="14.140625" style="24" customWidth="1"/>
    <col min="12293" max="12294" width="9.140625" style="24"/>
    <col min="12295" max="12295" width="14.85546875" style="24" customWidth="1"/>
    <col min="12296" max="12296" width="4.5703125" style="24" customWidth="1"/>
    <col min="12297" max="12297" width="12.42578125" style="24" customWidth="1"/>
    <col min="12298" max="12298" width="8.28515625" style="24" customWidth="1"/>
    <col min="12299" max="12299" width="13.42578125" style="24" customWidth="1"/>
    <col min="12300" max="12300" width="12.140625" style="24" customWidth="1"/>
    <col min="12301" max="12547" width="9.140625" style="24"/>
    <col min="12548" max="12548" width="14.140625" style="24" customWidth="1"/>
    <col min="12549" max="12550" width="9.140625" style="24"/>
    <col min="12551" max="12551" width="14.85546875" style="24" customWidth="1"/>
    <col min="12552" max="12552" width="4.5703125" style="24" customWidth="1"/>
    <col min="12553" max="12553" width="12.42578125" style="24" customWidth="1"/>
    <col min="12554" max="12554" width="8.28515625" style="24" customWidth="1"/>
    <col min="12555" max="12555" width="13.42578125" style="24" customWidth="1"/>
    <col min="12556" max="12556" width="12.140625" style="24" customWidth="1"/>
    <col min="12557" max="12803" width="9.140625" style="24"/>
    <col min="12804" max="12804" width="14.140625" style="24" customWidth="1"/>
    <col min="12805" max="12806" width="9.140625" style="24"/>
    <col min="12807" max="12807" width="14.85546875" style="24" customWidth="1"/>
    <col min="12808" max="12808" width="4.5703125" style="24" customWidth="1"/>
    <col min="12809" max="12809" width="12.42578125" style="24" customWidth="1"/>
    <col min="12810" max="12810" width="8.28515625" style="24" customWidth="1"/>
    <col min="12811" max="12811" width="13.42578125" style="24" customWidth="1"/>
    <col min="12812" max="12812" width="12.140625" style="24" customWidth="1"/>
    <col min="12813" max="13059" width="9.140625" style="24"/>
    <col min="13060" max="13060" width="14.140625" style="24" customWidth="1"/>
    <col min="13061" max="13062" width="9.140625" style="24"/>
    <col min="13063" max="13063" width="14.85546875" style="24" customWidth="1"/>
    <col min="13064" max="13064" width="4.5703125" style="24" customWidth="1"/>
    <col min="13065" max="13065" width="12.42578125" style="24" customWidth="1"/>
    <col min="13066" max="13066" width="8.28515625" style="24" customWidth="1"/>
    <col min="13067" max="13067" width="13.42578125" style="24" customWidth="1"/>
    <col min="13068" max="13068" width="12.140625" style="24" customWidth="1"/>
    <col min="13069" max="13315" width="9.140625" style="24"/>
    <col min="13316" max="13316" width="14.140625" style="24" customWidth="1"/>
    <col min="13317" max="13318" width="9.140625" style="24"/>
    <col min="13319" max="13319" width="14.85546875" style="24" customWidth="1"/>
    <col min="13320" max="13320" width="4.5703125" style="24" customWidth="1"/>
    <col min="13321" max="13321" width="12.42578125" style="24" customWidth="1"/>
    <col min="13322" max="13322" width="8.28515625" style="24" customWidth="1"/>
    <col min="13323" max="13323" width="13.42578125" style="24" customWidth="1"/>
    <col min="13324" max="13324" width="12.140625" style="24" customWidth="1"/>
    <col min="13325" max="13571" width="9.140625" style="24"/>
    <col min="13572" max="13572" width="14.140625" style="24" customWidth="1"/>
    <col min="13573" max="13574" width="9.140625" style="24"/>
    <col min="13575" max="13575" width="14.85546875" style="24" customWidth="1"/>
    <col min="13576" max="13576" width="4.5703125" style="24" customWidth="1"/>
    <col min="13577" max="13577" width="12.42578125" style="24" customWidth="1"/>
    <col min="13578" max="13578" width="8.28515625" style="24" customWidth="1"/>
    <col min="13579" max="13579" width="13.42578125" style="24" customWidth="1"/>
    <col min="13580" max="13580" width="12.140625" style="24" customWidth="1"/>
    <col min="13581" max="13827" width="9.140625" style="24"/>
    <col min="13828" max="13828" width="14.140625" style="24" customWidth="1"/>
    <col min="13829" max="13830" width="9.140625" style="24"/>
    <col min="13831" max="13831" width="14.85546875" style="24" customWidth="1"/>
    <col min="13832" max="13832" width="4.5703125" style="24" customWidth="1"/>
    <col min="13833" max="13833" width="12.42578125" style="24" customWidth="1"/>
    <col min="13834" max="13834" width="8.28515625" style="24" customWidth="1"/>
    <col min="13835" max="13835" width="13.42578125" style="24" customWidth="1"/>
    <col min="13836" max="13836" width="12.140625" style="24" customWidth="1"/>
    <col min="13837" max="14083" width="9.140625" style="24"/>
    <col min="14084" max="14084" width="14.140625" style="24" customWidth="1"/>
    <col min="14085" max="14086" width="9.140625" style="24"/>
    <col min="14087" max="14087" width="14.85546875" style="24" customWidth="1"/>
    <col min="14088" max="14088" width="4.5703125" style="24" customWidth="1"/>
    <col min="14089" max="14089" width="12.42578125" style="24" customWidth="1"/>
    <col min="14090" max="14090" width="8.28515625" style="24" customWidth="1"/>
    <col min="14091" max="14091" width="13.42578125" style="24" customWidth="1"/>
    <col min="14092" max="14092" width="12.140625" style="24" customWidth="1"/>
    <col min="14093" max="14339" width="9.140625" style="24"/>
    <col min="14340" max="14340" width="14.140625" style="24" customWidth="1"/>
    <col min="14341" max="14342" width="9.140625" style="24"/>
    <col min="14343" max="14343" width="14.85546875" style="24" customWidth="1"/>
    <col min="14344" max="14344" width="4.5703125" style="24" customWidth="1"/>
    <col min="14345" max="14345" width="12.42578125" style="24" customWidth="1"/>
    <col min="14346" max="14346" width="8.28515625" style="24" customWidth="1"/>
    <col min="14347" max="14347" width="13.42578125" style="24" customWidth="1"/>
    <col min="14348" max="14348" width="12.140625" style="24" customWidth="1"/>
    <col min="14349" max="14595" width="9.140625" style="24"/>
    <col min="14596" max="14596" width="14.140625" style="24" customWidth="1"/>
    <col min="14597" max="14598" width="9.140625" style="24"/>
    <col min="14599" max="14599" width="14.85546875" style="24" customWidth="1"/>
    <col min="14600" max="14600" width="4.5703125" style="24" customWidth="1"/>
    <col min="14601" max="14601" width="12.42578125" style="24" customWidth="1"/>
    <col min="14602" max="14602" width="8.28515625" style="24" customWidth="1"/>
    <col min="14603" max="14603" width="13.42578125" style="24" customWidth="1"/>
    <col min="14604" max="14604" width="12.140625" style="24" customWidth="1"/>
    <col min="14605" max="14851" width="9.140625" style="24"/>
    <col min="14852" max="14852" width="14.140625" style="24" customWidth="1"/>
    <col min="14853" max="14854" width="9.140625" style="24"/>
    <col min="14855" max="14855" width="14.85546875" style="24" customWidth="1"/>
    <col min="14856" max="14856" width="4.5703125" style="24" customWidth="1"/>
    <col min="14857" max="14857" width="12.42578125" style="24" customWidth="1"/>
    <col min="14858" max="14858" width="8.28515625" style="24" customWidth="1"/>
    <col min="14859" max="14859" width="13.42578125" style="24" customWidth="1"/>
    <col min="14860" max="14860" width="12.140625" style="24" customWidth="1"/>
    <col min="14861" max="15107" width="9.140625" style="24"/>
    <col min="15108" max="15108" width="14.140625" style="24" customWidth="1"/>
    <col min="15109" max="15110" width="9.140625" style="24"/>
    <col min="15111" max="15111" width="14.85546875" style="24" customWidth="1"/>
    <col min="15112" max="15112" width="4.5703125" style="24" customWidth="1"/>
    <col min="15113" max="15113" width="12.42578125" style="24" customWidth="1"/>
    <col min="15114" max="15114" width="8.28515625" style="24" customWidth="1"/>
    <col min="15115" max="15115" width="13.42578125" style="24" customWidth="1"/>
    <col min="15116" max="15116" width="12.140625" style="24" customWidth="1"/>
    <col min="15117" max="15363" width="9.140625" style="24"/>
    <col min="15364" max="15364" width="14.140625" style="24" customWidth="1"/>
    <col min="15365" max="15366" width="9.140625" style="24"/>
    <col min="15367" max="15367" width="14.85546875" style="24" customWidth="1"/>
    <col min="15368" max="15368" width="4.5703125" style="24" customWidth="1"/>
    <col min="15369" max="15369" width="12.42578125" style="24" customWidth="1"/>
    <col min="15370" max="15370" width="8.28515625" style="24" customWidth="1"/>
    <col min="15371" max="15371" width="13.42578125" style="24" customWidth="1"/>
    <col min="15372" max="15372" width="12.140625" style="24" customWidth="1"/>
    <col min="15373" max="15619" width="9.140625" style="24"/>
    <col min="15620" max="15620" width="14.140625" style="24" customWidth="1"/>
    <col min="15621" max="15622" width="9.140625" style="24"/>
    <col min="15623" max="15623" width="14.85546875" style="24" customWidth="1"/>
    <col min="15624" max="15624" width="4.5703125" style="24" customWidth="1"/>
    <col min="15625" max="15625" width="12.42578125" style="24" customWidth="1"/>
    <col min="15626" max="15626" width="8.28515625" style="24" customWidth="1"/>
    <col min="15627" max="15627" width="13.42578125" style="24" customWidth="1"/>
    <col min="15628" max="15628" width="12.140625" style="24" customWidth="1"/>
    <col min="15629" max="15875" width="9.140625" style="24"/>
    <col min="15876" max="15876" width="14.140625" style="24" customWidth="1"/>
    <col min="15877" max="15878" width="9.140625" style="24"/>
    <col min="15879" max="15879" width="14.85546875" style="24" customWidth="1"/>
    <col min="15880" max="15880" width="4.5703125" style="24" customWidth="1"/>
    <col min="15881" max="15881" width="12.42578125" style="24" customWidth="1"/>
    <col min="15882" max="15882" width="8.28515625" style="24" customWidth="1"/>
    <col min="15883" max="15883" width="13.42578125" style="24" customWidth="1"/>
    <col min="15884" max="15884" width="12.140625" style="24" customWidth="1"/>
    <col min="15885" max="16131" width="9.140625" style="24"/>
    <col min="16132" max="16132" width="14.140625" style="24" customWidth="1"/>
    <col min="16133" max="16134" width="9.140625" style="24"/>
    <col min="16135" max="16135" width="14.85546875" style="24" customWidth="1"/>
    <col min="16136" max="16136" width="4.5703125" style="24" customWidth="1"/>
    <col min="16137" max="16137" width="12.42578125" style="24" customWidth="1"/>
    <col min="16138" max="16138" width="8.28515625" style="24" customWidth="1"/>
    <col min="16139" max="16139" width="13.42578125" style="24" customWidth="1"/>
    <col min="16140" max="16140" width="12.140625" style="24" customWidth="1"/>
    <col min="16141" max="16384" width="9.140625" style="24"/>
  </cols>
  <sheetData>
    <row r="1" spans="1:12" ht="22.5" customHeight="1" x14ac:dyDescent="0.25">
      <c r="A1" s="105" t="s">
        <v>84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3" spans="1:12" ht="23.25" x14ac:dyDescent="0.25">
      <c r="A3" s="104" t="s">
        <v>85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6" spans="1:12" x14ac:dyDescent="0.25">
      <c r="A6" s="70" t="s">
        <v>116</v>
      </c>
      <c r="E6" s="70" t="s">
        <v>115</v>
      </c>
      <c r="J6" s="70"/>
    </row>
    <row r="8" spans="1:12" x14ac:dyDescent="0.25">
      <c r="A8" s="71" t="s">
        <v>86</v>
      </c>
      <c r="B8" s="72" t="s">
        <v>121</v>
      </c>
      <c r="C8" s="72"/>
      <c r="D8" s="72"/>
      <c r="E8" s="72"/>
      <c r="F8" s="73" t="s">
        <v>88</v>
      </c>
      <c r="G8" s="91" t="s">
        <v>89</v>
      </c>
      <c r="H8" s="91"/>
      <c r="I8" s="92" t="s">
        <v>90</v>
      </c>
      <c r="J8" s="92"/>
      <c r="K8" s="92"/>
      <c r="L8" s="74">
        <v>49.52</v>
      </c>
    </row>
    <row r="9" spans="1:12" x14ac:dyDescent="0.25">
      <c r="A9" s="93" t="s">
        <v>91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5"/>
    </row>
    <row r="10" spans="1:12" x14ac:dyDescent="0.25">
      <c r="A10" s="96" t="s">
        <v>92</v>
      </c>
      <c r="B10" s="96"/>
      <c r="C10" s="96"/>
      <c r="D10" s="96"/>
      <c r="E10" s="96" t="s">
        <v>93</v>
      </c>
      <c r="F10" s="96"/>
      <c r="G10" s="96" t="s">
        <v>94</v>
      </c>
      <c r="H10" s="96"/>
      <c r="I10" s="97" t="s">
        <v>95</v>
      </c>
      <c r="J10" s="98"/>
      <c r="K10" s="96" t="s">
        <v>96</v>
      </c>
      <c r="L10" s="96"/>
    </row>
    <row r="11" spans="1:12" x14ac:dyDescent="0.25">
      <c r="A11" s="99" t="s">
        <v>103</v>
      </c>
      <c r="B11" s="100"/>
      <c r="C11" s="100"/>
      <c r="D11" s="101"/>
      <c r="E11" s="102" t="s">
        <v>104</v>
      </c>
      <c r="F11" s="103"/>
      <c r="G11" s="76">
        <v>3513.7186513740294</v>
      </c>
      <c r="H11" s="77" t="s">
        <v>98</v>
      </c>
      <c r="I11" s="78">
        <f>2.9/1000</f>
        <v>2.8999999999999998E-3</v>
      </c>
      <c r="J11" s="77" t="s">
        <v>99</v>
      </c>
      <c r="K11" s="79">
        <f>ROUND(L8*G11*I11,2)</f>
        <v>504.6</v>
      </c>
      <c r="L11" s="77" t="s">
        <v>100</v>
      </c>
    </row>
    <row r="12" spans="1:12" x14ac:dyDescent="0.25">
      <c r="A12" s="99" t="s">
        <v>122</v>
      </c>
      <c r="B12" s="100"/>
      <c r="C12" s="100"/>
      <c r="D12" s="101"/>
      <c r="E12" s="102" t="s">
        <v>108</v>
      </c>
      <c r="F12" s="103"/>
      <c r="G12" s="76">
        <v>70.27426038539501</v>
      </c>
      <c r="H12" s="77" t="s">
        <v>109</v>
      </c>
      <c r="I12" s="82">
        <f>0.055*2.4</f>
        <v>0.13200000000000001</v>
      </c>
      <c r="J12" s="77" t="s">
        <v>110</v>
      </c>
      <c r="K12" s="79">
        <f>ROUND(L8*G12*I12,2)</f>
        <v>459.36</v>
      </c>
      <c r="L12" s="77" t="s">
        <v>100</v>
      </c>
    </row>
    <row r="13" spans="1:12" x14ac:dyDescent="0.25">
      <c r="A13" s="99" t="s">
        <v>122</v>
      </c>
      <c r="B13" s="100"/>
      <c r="C13" s="100"/>
      <c r="D13" s="101"/>
      <c r="E13" s="102" t="s">
        <v>124</v>
      </c>
      <c r="F13" s="103"/>
      <c r="G13" s="76">
        <v>3513.7186513740294</v>
      </c>
      <c r="H13" s="77" t="s">
        <v>98</v>
      </c>
      <c r="I13" s="78">
        <f>0.4/1000</f>
        <v>4.0000000000000002E-4</v>
      </c>
      <c r="J13" s="77" t="s">
        <v>99</v>
      </c>
      <c r="K13" s="79">
        <f>ROUND(L8*G13*I13,2)</f>
        <v>69.599999999999994</v>
      </c>
      <c r="L13" s="77" t="s">
        <v>100</v>
      </c>
    </row>
    <row r="14" spans="1:12" x14ac:dyDescent="0.25">
      <c r="A14" s="89" t="s">
        <v>123</v>
      </c>
      <c r="B14" s="89"/>
      <c r="C14" s="89"/>
      <c r="D14" s="89"/>
      <c r="E14" s="102" t="s">
        <v>108</v>
      </c>
      <c r="F14" s="103"/>
      <c r="G14" s="86">
        <v>0.19998460472634902</v>
      </c>
      <c r="H14" s="77" t="s">
        <v>109</v>
      </c>
      <c r="I14" s="82">
        <f>0.2*0.065*2.4</f>
        <v>3.1200000000000002E-2</v>
      </c>
      <c r="J14" s="77" t="s">
        <v>110</v>
      </c>
      <c r="K14" s="79">
        <f>ROUND(L8*G14*I14,2)</f>
        <v>0.31</v>
      </c>
      <c r="L14" s="77" t="s">
        <v>100</v>
      </c>
    </row>
    <row r="15" spans="1:12" x14ac:dyDescent="0.25">
      <c r="A15" s="99" t="s">
        <v>107</v>
      </c>
      <c r="B15" s="100"/>
      <c r="C15" s="100"/>
      <c r="D15" s="101"/>
      <c r="E15" s="102" t="s">
        <v>108</v>
      </c>
      <c r="F15" s="103"/>
      <c r="G15" s="76">
        <v>0.50003848818412755</v>
      </c>
      <c r="H15" s="77" t="s">
        <v>109</v>
      </c>
      <c r="I15" s="82">
        <f>0.065*2.4</f>
        <v>0.156</v>
      </c>
      <c r="J15" s="77" t="s">
        <v>110</v>
      </c>
      <c r="K15" s="79">
        <f>ROUND(L8*G15*I15,2)</f>
        <v>3.86</v>
      </c>
      <c r="L15" s="77" t="s">
        <v>100</v>
      </c>
    </row>
    <row r="16" spans="1:12" x14ac:dyDescent="0.25">
      <c r="A16" s="99" t="s">
        <v>111</v>
      </c>
      <c r="B16" s="100"/>
      <c r="C16" s="100"/>
      <c r="D16" s="101"/>
      <c r="E16" s="102" t="s">
        <v>124</v>
      </c>
      <c r="F16" s="103"/>
      <c r="G16" s="76">
        <v>6.9999999999999991</v>
      </c>
      <c r="H16" s="77" t="s">
        <v>112</v>
      </c>
      <c r="I16" s="78">
        <v>1E-3</v>
      </c>
      <c r="J16" s="77" t="s">
        <v>125</v>
      </c>
      <c r="K16" s="79">
        <f>ROUND(L8*G16*I16,2)</f>
        <v>0.35</v>
      </c>
      <c r="L16" s="77" t="s">
        <v>100</v>
      </c>
    </row>
    <row r="19" spans="1:12" ht="23.25" x14ac:dyDescent="0.25">
      <c r="A19" s="104" t="s">
        <v>105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1" spans="1:12" ht="16.5" customHeight="1" x14ac:dyDescent="0.25"/>
    <row r="22" spans="1:12" x14ac:dyDescent="0.25">
      <c r="A22" s="70" t="s">
        <v>116</v>
      </c>
      <c r="E22" s="70" t="s">
        <v>115</v>
      </c>
      <c r="J22" s="70"/>
    </row>
    <row r="24" spans="1:12" ht="19.5" customHeight="1" x14ac:dyDescent="0.25">
      <c r="A24" s="71" t="s">
        <v>86</v>
      </c>
      <c r="B24" s="72" t="s">
        <v>87</v>
      </c>
      <c r="C24" s="72"/>
      <c r="D24" s="72"/>
      <c r="E24" s="72"/>
      <c r="F24" s="73" t="s">
        <v>88</v>
      </c>
      <c r="G24" s="91" t="s">
        <v>89</v>
      </c>
      <c r="H24" s="91"/>
      <c r="I24" s="92" t="s">
        <v>90</v>
      </c>
      <c r="J24" s="92"/>
      <c r="K24" s="92"/>
      <c r="L24" s="74">
        <v>17.236000000000001</v>
      </c>
    </row>
    <row r="25" spans="1:12" ht="18.75" customHeight="1" x14ac:dyDescent="0.25">
      <c r="A25" s="93" t="s">
        <v>91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5"/>
    </row>
    <row r="26" spans="1:12" s="75" customFormat="1" ht="31.5" customHeight="1" x14ac:dyDescent="0.25">
      <c r="A26" s="96" t="s">
        <v>92</v>
      </c>
      <c r="B26" s="96"/>
      <c r="C26" s="96"/>
      <c r="D26" s="96"/>
      <c r="E26" s="96" t="s">
        <v>93</v>
      </c>
      <c r="F26" s="96"/>
      <c r="G26" s="96" t="s">
        <v>94</v>
      </c>
      <c r="H26" s="96"/>
      <c r="I26" s="97" t="s">
        <v>95</v>
      </c>
      <c r="J26" s="98"/>
      <c r="K26" s="96" t="s">
        <v>96</v>
      </c>
      <c r="L26" s="96"/>
    </row>
    <row r="27" spans="1:12" ht="18" customHeight="1" x14ac:dyDescent="0.25">
      <c r="A27" s="89" t="s">
        <v>97</v>
      </c>
      <c r="B27" s="89"/>
      <c r="C27" s="89"/>
      <c r="D27" s="89"/>
      <c r="E27" s="90" t="s">
        <v>119</v>
      </c>
      <c r="F27" s="90"/>
      <c r="G27" s="76">
        <v>4300.1400000000003</v>
      </c>
      <c r="H27" s="77" t="s">
        <v>98</v>
      </c>
      <c r="I27" s="78">
        <f>1.2/1000</f>
        <v>1.1999999999999999E-3</v>
      </c>
      <c r="J27" s="77" t="s">
        <v>99</v>
      </c>
      <c r="K27" s="79">
        <f>ROUND($L$24*G27*I27,2)</f>
        <v>88.94</v>
      </c>
      <c r="L27" s="77" t="s">
        <v>100</v>
      </c>
    </row>
    <row r="28" spans="1:12" ht="18" customHeight="1" x14ac:dyDescent="0.25">
      <c r="A28" s="89" t="s">
        <v>101</v>
      </c>
      <c r="B28" s="89"/>
      <c r="C28" s="89"/>
      <c r="D28" s="89"/>
      <c r="E28" s="90" t="s">
        <v>102</v>
      </c>
      <c r="F28" s="90"/>
      <c r="G28" s="76">
        <v>4300.1400000000003</v>
      </c>
      <c r="H28" s="77" t="s">
        <v>98</v>
      </c>
      <c r="I28" s="78">
        <f>1.3/1000</f>
        <v>1.2999999999999999E-3</v>
      </c>
      <c r="J28" s="77" t="s">
        <v>99</v>
      </c>
      <c r="K28" s="79">
        <f>ROUND($L$24*G28*I28,2)</f>
        <v>96.35</v>
      </c>
      <c r="L28" s="77" t="s">
        <v>100</v>
      </c>
    </row>
    <row r="29" spans="1:12" ht="18" customHeight="1" x14ac:dyDescent="0.25">
      <c r="A29" s="89" t="s">
        <v>103</v>
      </c>
      <c r="B29" s="89"/>
      <c r="C29" s="89"/>
      <c r="D29" s="89"/>
      <c r="E29" s="90" t="s">
        <v>104</v>
      </c>
      <c r="F29" s="90"/>
      <c r="G29" s="76">
        <v>4300.1400000000003</v>
      </c>
      <c r="H29" s="77" t="s">
        <v>98</v>
      </c>
      <c r="I29" s="78">
        <f>2.9/1000</f>
        <v>2.8999999999999998E-3</v>
      </c>
      <c r="J29" s="77" t="s">
        <v>99</v>
      </c>
      <c r="K29" s="79">
        <f>ROUND($L$24*G29*I29,2)</f>
        <v>214.94</v>
      </c>
      <c r="L29" s="77" t="s">
        <v>100</v>
      </c>
    </row>
    <row r="30" spans="1:12" ht="16.5" customHeight="1" x14ac:dyDescent="0.25"/>
    <row r="31" spans="1:12" ht="16.5" customHeight="1" x14ac:dyDescent="0.25"/>
    <row r="33" spans="1:12" ht="23.25" x14ac:dyDescent="0.25">
      <c r="A33" s="104" t="s">
        <v>118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1:12" x14ac:dyDescent="0.25">
      <c r="A34" s="80"/>
    </row>
    <row r="36" spans="1:12" x14ac:dyDescent="0.25">
      <c r="A36" s="70" t="s">
        <v>117</v>
      </c>
      <c r="E36" s="70" t="s">
        <v>115</v>
      </c>
      <c r="J36" s="70"/>
    </row>
    <row r="37" spans="1:12" x14ac:dyDescent="0.25">
      <c r="A37" s="70"/>
      <c r="E37" s="70"/>
      <c r="J37" s="70"/>
    </row>
    <row r="38" spans="1:12" ht="19.5" customHeight="1" x14ac:dyDescent="0.25">
      <c r="A38" s="71" t="s">
        <v>86</v>
      </c>
      <c r="B38" s="72" t="s">
        <v>106</v>
      </c>
      <c r="C38" s="72"/>
      <c r="D38" s="72"/>
      <c r="E38" s="72"/>
      <c r="F38" s="73" t="s">
        <v>88</v>
      </c>
      <c r="G38" s="91" t="s">
        <v>89</v>
      </c>
      <c r="H38" s="91"/>
      <c r="I38" s="92" t="s">
        <v>90</v>
      </c>
      <c r="J38" s="92"/>
      <c r="K38" s="92"/>
      <c r="L38" s="81">
        <v>4.3999999999999997E-2</v>
      </c>
    </row>
    <row r="39" spans="1:12" ht="18.75" customHeight="1" x14ac:dyDescent="0.25">
      <c r="A39" s="93" t="s">
        <v>91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5"/>
    </row>
    <row r="40" spans="1:12" s="75" customFormat="1" ht="31.5" customHeight="1" x14ac:dyDescent="0.25">
      <c r="A40" s="96" t="s">
        <v>92</v>
      </c>
      <c r="B40" s="96"/>
      <c r="C40" s="96"/>
      <c r="D40" s="96"/>
      <c r="E40" s="96" t="s">
        <v>93</v>
      </c>
      <c r="F40" s="96"/>
      <c r="G40" s="96" t="s">
        <v>94</v>
      </c>
      <c r="H40" s="96"/>
      <c r="I40" s="97" t="s">
        <v>95</v>
      </c>
      <c r="J40" s="98"/>
      <c r="K40" s="96" t="s">
        <v>96</v>
      </c>
      <c r="L40" s="96"/>
    </row>
    <row r="41" spans="1:12" ht="18" customHeight="1" x14ac:dyDescent="0.25">
      <c r="A41" s="99" t="s">
        <v>103</v>
      </c>
      <c r="B41" s="100"/>
      <c r="C41" s="100"/>
      <c r="D41" s="101"/>
      <c r="E41" s="102" t="s">
        <v>104</v>
      </c>
      <c r="F41" s="103"/>
      <c r="G41" s="76">
        <v>4161.3500000000004</v>
      </c>
      <c r="H41" s="77" t="s">
        <v>98</v>
      </c>
      <c r="I41" s="78">
        <f>2.9/1000</f>
        <v>2.8999999999999998E-3</v>
      </c>
      <c r="J41" s="77" t="s">
        <v>99</v>
      </c>
      <c r="K41" s="79">
        <f>ROUND(L38*G41*I41,2)</f>
        <v>0.53</v>
      </c>
      <c r="L41" s="77" t="s">
        <v>100</v>
      </c>
    </row>
    <row r="42" spans="1:12" ht="18" customHeight="1" x14ac:dyDescent="0.25">
      <c r="A42" s="99" t="s">
        <v>107</v>
      </c>
      <c r="B42" s="100"/>
      <c r="C42" s="100"/>
      <c r="D42" s="101"/>
      <c r="E42" s="102" t="s">
        <v>108</v>
      </c>
      <c r="F42" s="103"/>
      <c r="G42" s="76">
        <v>0.4</v>
      </c>
      <c r="H42" s="77" t="s">
        <v>109</v>
      </c>
      <c r="I42" s="82">
        <f>0.055*2.4</f>
        <v>0.13200000000000001</v>
      </c>
      <c r="J42" s="77" t="s">
        <v>110</v>
      </c>
      <c r="K42" s="79">
        <f>ROUND(L38*G42*I42,2)</f>
        <v>0</v>
      </c>
      <c r="L42" s="77" t="s">
        <v>100</v>
      </c>
    </row>
    <row r="43" spans="1:12" ht="18" customHeight="1" x14ac:dyDescent="0.25">
      <c r="A43" s="99" t="s">
        <v>111</v>
      </c>
      <c r="B43" s="100"/>
      <c r="C43" s="100"/>
      <c r="D43" s="101"/>
      <c r="E43" s="102" t="s">
        <v>102</v>
      </c>
      <c r="F43" s="103"/>
      <c r="G43" s="76">
        <v>5</v>
      </c>
      <c r="H43" s="77" t="s">
        <v>112</v>
      </c>
      <c r="I43" s="78">
        <v>1</v>
      </c>
      <c r="J43" s="77" t="s">
        <v>113</v>
      </c>
      <c r="K43" s="79">
        <f>ROUND(L38*G43*I43,2)/1000</f>
        <v>2.2000000000000001E-4</v>
      </c>
      <c r="L43" s="77" t="s">
        <v>100</v>
      </c>
    </row>
    <row r="44" spans="1:12" x14ac:dyDescent="0.25">
      <c r="A44" s="70"/>
      <c r="E44" s="70"/>
      <c r="J44" s="70"/>
    </row>
    <row r="46" spans="1:12" ht="19.5" customHeight="1" x14ac:dyDescent="0.25">
      <c r="A46" s="71" t="s">
        <v>86</v>
      </c>
      <c r="B46" s="72" t="s">
        <v>87</v>
      </c>
      <c r="C46" s="72"/>
      <c r="D46" s="72"/>
      <c r="E46" s="72"/>
      <c r="F46" s="73" t="s">
        <v>88</v>
      </c>
      <c r="G46" s="91" t="s">
        <v>89</v>
      </c>
      <c r="H46" s="91"/>
      <c r="I46" s="92" t="s">
        <v>90</v>
      </c>
      <c r="J46" s="92"/>
      <c r="K46" s="92"/>
      <c r="L46" s="74">
        <v>69.123999999999995</v>
      </c>
    </row>
    <row r="47" spans="1:12" ht="18.75" customHeight="1" x14ac:dyDescent="0.25">
      <c r="A47" s="93" t="s">
        <v>91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5"/>
    </row>
    <row r="48" spans="1:12" s="75" customFormat="1" ht="31.5" customHeight="1" x14ac:dyDescent="0.25">
      <c r="A48" s="96" t="s">
        <v>92</v>
      </c>
      <c r="B48" s="96"/>
      <c r="C48" s="96"/>
      <c r="D48" s="96"/>
      <c r="E48" s="96" t="s">
        <v>93</v>
      </c>
      <c r="F48" s="96"/>
      <c r="G48" s="96" t="s">
        <v>94</v>
      </c>
      <c r="H48" s="96"/>
      <c r="I48" s="97" t="s">
        <v>95</v>
      </c>
      <c r="J48" s="98"/>
      <c r="K48" s="96" t="s">
        <v>96</v>
      </c>
      <c r="L48" s="96"/>
    </row>
    <row r="49" spans="1:12" ht="18" customHeight="1" x14ac:dyDescent="0.25">
      <c r="A49" s="89" t="s">
        <v>97</v>
      </c>
      <c r="B49" s="89"/>
      <c r="C49" s="89"/>
      <c r="D49" s="89"/>
      <c r="E49" s="90" t="s">
        <v>119</v>
      </c>
      <c r="F49" s="90"/>
      <c r="G49" s="76">
        <v>4300.1400000000003</v>
      </c>
      <c r="H49" s="77" t="s">
        <v>98</v>
      </c>
      <c r="I49" s="78">
        <f>1.2/1000</f>
        <v>1.1999999999999999E-3</v>
      </c>
      <c r="J49" s="77" t="s">
        <v>99</v>
      </c>
      <c r="K49" s="79">
        <f>ROUND($L$46*G49*I49,2)</f>
        <v>356.69</v>
      </c>
      <c r="L49" s="77" t="s">
        <v>100</v>
      </c>
    </row>
    <row r="50" spans="1:12" ht="18" customHeight="1" x14ac:dyDescent="0.25">
      <c r="A50" s="89" t="s">
        <v>101</v>
      </c>
      <c r="B50" s="89"/>
      <c r="C50" s="89"/>
      <c r="D50" s="89"/>
      <c r="E50" s="90" t="s">
        <v>102</v>
      </c>
      <c r="F50" s="90"/>
      <c r="G50" s="76">
        <v>4300.1400000000003</v>
      </c>
      <c r="H50" s="77" t="s">
        <v>98</v>
      </c>
      <c r="I50" s="78">
        <f>1.3/1000</f>
        <v>1.2999999999999999E-3</v>
      </c>
      <c r="J50" s="77" t="s">
        <v>99</v>
      </c>
      <c r="K50" s="79">
        <f>ROUND($L$46*G50*I50,2)</f>
        <v>386.42</v>
      </c>
      <c r="L50" s="77" t="s">
        <v>100</v>
      </c>
    </row>
    <row r="51" spans="1:12" ht="18" customHeight="1" x14ac:dyDescent="0.25">
      <c r="A51" s="89" t="s">
        <v>103</v>
      </c>
      <c r="B51" s="89"/>
      <c r="C51" s="89"/>
      <c r="D51" s="89"/>
      <c r="E51" s="90" t="s">
        <v>104</v>
      </c>
      <c r="F51" s="90"/>
      <c r="G51" s="76">
        <v>4300.1400000000003</v>
      </c>
      <c r="H51" s="77" t="s">
        <v>98</v>
      </c>
      <c r="I51" s="78">
        <f>2.9/1000</f>
        <v>2.8999999999999998E-3</v>
      </c>
      <c r="J51" s="77" t="s">
        <v>99</v>
      </c>
      <c r="K51" s="79">
        <f>ROUND($L$46*G51*I51,2)</f>
        <v>862</v>
      </c>
      <c r="L51" s="77" t="s">
        <v>100</v>
      </c>
    </row>
  </sheetData>
  <mergeCells count="66">
    <mergeCell ref="A15:D15"/>
    <mergeCell ref="A16:D16"/>
    <mergeCell ref="E14:F14"/>
    <mergeCell ref="E15:F15"/>
    <mergeCell ref="E16:F16"/>
    <mergeCell ref="E12:F12"/>
    <mergeCell ref="A13:D13"/>
    <mergeCell ref="E13:F13"/>
    <mergeCell ref="A3:L3"/>
    <mergeCell ref="A14:D14"/>
    <mergeCell ref="A26:D26"/>
    <mergeCell ref="E26:F26"/>
    <mergeCell ref="G26:H26"/>
    <mergeCell ref="I26:J26"/>
    <mergeCell ref="K26:L26"/>
    <mergeCell ref="A1:L1"/>
    <mergeCell ref="A19:L19"/>
    <mergeCell ref="G24:H24"/>
    <mergeCell ref="I24:K24"/>
    <mergeCell ref="A25:L25"/>
    <mergeCell ref="G8:H8"/>
    <mergeCell ref="I8:K8"/>
    <mergeCell ref="A9:L9"/>
    <mergeCell ref="A10:D10"/>
    <mergeCell ref="E10:F10"/>
    <mergeCell ref="G10:H10"/>
    <mergeCell ref="I10:J10"/>
    <mergeCell ref="K10:L10"/>
    <mergeCell ref="A11:D11"/>
    <mergeCell ref="E11:F11"/>
    <mergeCell ref="A12:D12"/>
    <mergeCell ref="A27:D27"/>
    <mergeCell ref="E27:F27"/>
    <mergeCell ref="A28:D28"/>
    <mergeCell ref="E28:F28"/>
    <mergeCell ref="A29:D29"/>
    <mergeCell ref="E29:F29"/>
    <mergeCell ref="A33:L33"/>
    <mergeCell ref="G38:H38"/>
    <mergeCell ref="I38:K38"/>
    <mergeCell ref="A39:L39"/>
    <mergeCell ref="A40:D40"/>
    <mergeCell ref="E40:F40"/>
    <mergeCell ref="G40:H40"/>
    <mergeCell ref="I40:J40"/>
    <mergeCell ref="K40:L40"/>
    <mergeCell ref="A41:D41"/>
    <mergeCell ref="E41:F41"/>
    <mergeCell ref="A42:D42"/>
    <mergeCell ref="E42:F42"/>
    <mergeCell ref="A43:D43"/>
    <mergeCell ref="E43:F43"/>
    <mergeCell ref="G46:H46"/>
    <mergeCell ref="I46:K46"/>
    <mergeCell ref="A47:L47"/>
    <mergeCell ref="A48:D48"/>
    <mergeCell ref="E48:F48"/>
    <mergeCell ref="G48:H48"/>
    <mergeCell ref="I48:J48"/>
    <mergeCell ref="K48:L48"/>
    <mergeCell ref="A49:D49"/>
    <mergeCell ref="E49:F49"/>
    <mergeCell ref="A50:D50"/>
    <mergeCell ref="E50:F50"/>
    <mergeCell ref="A51:D51"/>
    <mergeCell ref="E51:F51"/>
  </mergeCells>
  <pageMargins left="0.51181102362204722" right="0.51181102362204722" top="0.78740157480314965" bottom="0.78740157480314965" header="0.31496062992125984" footer="0.31496062992125984"/>
  <pageSetup paperSize="9" scale="73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ROTEIRO I</vt:lpstr>
      <vt:lpstr>ROTEIRO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Elias Costa de Oliveira</dc:creator>
  <cp:lastModifiedBy>Marcos Elias Costa de Oliveira</cp:lastModifiedBy>
  <dcterms:created xsi:type="dcterms:W3CDTF">2022-04-13T17:33:21Z</dcterms:created>
  <dcterms:modified xsi:type="dcterms:W3CDTF">2022-04-26T19:03:25Z</dcterms:modified>
</cp:coreProperties>
</file>