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a.emilia\Desktop\"/>
    </mc:Choice>
  </mc:AlternateContent>
  <xr:revisionPtr revIDLastSave="0" documentId="8_{B008F61E-94DD-4C69-81FD-AFFB650D43E1}" xr6:coauthVersionLast="47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QUANTITATIVO" sheetId="45" r:id="rId1"/>
    <sheet name="R1 " sheetId="41" r:id="rId2"/>
    <sheet name="R2" sheetId="32" r:id="rId3"/>
    <sheet name="R3" sheetId="42" r:id="rId4"/>
    <sheet name="R4" sheetId="47" r:id="rId5"/>
    <sheet name="R5" sheetId="43" r:id="rId6"/>
    <sheet name="R6" sheetId="49" r:id="rId7"/>
    <sheet name="R7" sheetId="44" r:id="rId8"/>
    <sheet name="R8" sheetId="48" r:id="rId9"/>
    <sheet name="FATOR K TRDE" sheetId="6" r:id="rId10"/>
    <sheet name="CRONOGRAMA" sheetId="46" r:id="rId11"/>
  </sheets>
  <definedNames>
    <definedName name="_xlnm._FilterDatabase" localSheetId="0" hidden="1">QUANTITATIVO!$A$8:$J$31</definedName>
    <definedName name="_xlnm._FilterDatabase" localSheetId="1" hidden="1">'R1 '!$A$8:$J$31</definedName>
    <definedName name="_xlnm._FilterDatabase" localSheetId="2" hidden="1">'R2'!$A$8:$J$31</definedName>
    <definedName name="_xlnm._FilterDatabase" localSheetId="3" hidden="1">'R3'!$A$8:$J$31</definedName>
    <definedName name="_xlnm._FilterDatabase" localSheetId="4" hidden="1">'R4'!$A$8:$J$31</definedName>
    <definedName name="_xlnm._FilterDatabase" localSheetId="5" hidden="1">'R5'!$A$8:$J$31</definedName>
    <definedName name="_xlnm._FilterDatabase" localSheetId="6" hidden="1">'R6'!$A$8:$J$31</definedName>
    <definedName name="_xlnm._FilterDatabase" localSheetId="7" hidden="1">'R7'!$A$8:$J$31</definedName>
    <definedName name="_xlnm._FilterDatabase" localSheetId="8" hidden="1">'R8'!$A$8:$J$31</definedName>
    <definedName name="A" localSheetId="0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>#REF!</definedName>
    <definedName name="_xlnm.Print_Area" localSheetId="10">CRONOGRAMA!$A$2:$AB$23</definedName>
    <definedName name="_xlnm.Print_Area" localSheetId="0">QUANTITATIVO!$A$1:$J$31</definedName>
    <definedName name="_xlnm.Print_Area" localSheetId="1">'R1 '!$A$1:$J$31</definedName>
    <definedName name="_xlnm.Print_Area" localSheetId="2">'R2'!$A$1:$J$31</definedName>
    <definedName name="_xlnm.Print_Area" localSheetId="3">'R3'!$A$1:$J$31</definedName>
    <definedName name="_xlnm.Print_Area" localSheetId="4">'R4'!$A$1:$J$31</definedName>
    <definedName name="_xlnm.Print_Area" localSheetId="5">'R5'!$A$1:$J$31</definedName>
    <definedName name="_xlnm.Print_Area" localSheetId="6">'R6'!$A$1:$J$31</definedName>
    <definedName name="_xlnm.Print_Area" localSheetId="7">'R7'!$A$1:$J$31</definedName>
    <definedName name="_xlnm.Print_Area" localSheetId="8">'R8'!$A$1:$J$31</definedName>
    <definedName name="F" localSheetId="9">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>#REF!</definedName>
    <definedName name="kapa" localSheetId="0">#REF!</definedName>
    <definedName name="kapa" localSheetId="1">#REF!</definedName>
    <definedName name="kapa" localSheetId="2">#REF!</definedName>
    <definedName name="kapa" localSheetId="3">#REF!</definedName>
    <definedName name="kapa" localSheetId="4">#REF!</definedName>
    <definedName name="kapa" localSheetId="5">#REF!</definedName>
    <definedName name="kapa" localSheetId="6">#REF!</definedName>
    <definedName name="kapa" localSheetId="7">#REF!</definedName>
    <definedName name="kapa" localSheetId="8">#REF!</definedName>
    <definedName name="kapa">#REF!</definedName>
    <definedName name="POP" localSheetId="9">#REF!</definedName>
    <definedName name="POP" localSheetId="0">#REF!</definedName>
    <definedName name="POP" localSheetId="1">#REF!</definedName>
    <definedName name="POP" localSheetId="2">#REF!</definedName>
    <definedName name="POP" localSheetId="3">#REF!</definedName>
    <definedName name="POP" localSheetId="4">#REF!</definedName>
    <definedName name="POP" localSheetId="5">#REF!</definedName>
    <definedName name="POP" localSheetId="6">#REF!</definedName>
    <definedName name="POP" localSheetId="7">#REF!</definedName>
    <definedName name="POP" localSheetId="8">#REF!</definedName>
    <definedName name="POP">#REF!</definedName>
    <definedName name="_xlnm.Print_Titles" localSheetId="0">QUANTITATIVO!$1:$7</definedName>
    <definedName name="_xlnm.Print_Titles" localSheetId="1">'R1 '!$1:$7</definedName>
    <definedName name="_xlnm.Print_Titles" localSheetId="2">'R2'!$1:$7</definedName>
    <definedName name="_xlnm.Print_Titles" localSheetId="3">'R3'!$1:$7</definedName>
    <definedName name="_xlnm.Print_Titles" localSheetId="4">'R4'!$1:$7</definedName>
    <definedName name="_xlnm.Print_Titles" localSheetId="5">'R5'!$1:$7</definedName>
    <definedName name="_xlnm.Print_Titles" localSheetId="6">'R6'!$1:$7</definedName>
    <definedName name="_xlnm.Print_Titles" localSheetId="7">'R7'!$1:$7</definedName>
    <definedName name="_xlnm.Print_Titles" localSheetId="8">'R8'!$1:$7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46" l="1"/>
  <c r="M20" i="46"/>
  <c r="S20" i="46"/>
  <c r="Y20" i="46"/>
  <c r="F18" i="41"/>
  <c r="F28" i="42"/>
  <c r="F27" i="42"/>
  <c r="F24" i="42"/>
  <c r="F18" i="42"/>
  <c r="F16" i="42"/>
  <c r="F15" i="42"/>
  <c r="F14" i="42"/>
  <c r="F13" i="42"/>
  <c r="F12" i="42"/>
  <c r="N13" i="44"/>
  <c r="N14" i="44"/>
  <c r="N15" i="44"/>
  <c r="N16" i="44"/>
  <c r="N17" i="44"/>
  <c r="N18" i="44"/>
  <c r="N19" i="44"/>
  <c r="N20" i="44"/>
  <c r="N21" i="44"/>
  <c r="N22" i="44"/>
  <c r="N23" i="44"/>
  <c r="N24" i="44"/>
  <c r="N25" i="44"/>
  <c r="N26" i="44"/>
  <c r="N27" i="44"/>
  <c r="N28" i="44"/>
  <c r="N12" i="44"/>
  <c r="F28" i="44"/>
  <c r="F27" i="44"/>
  <c r="F24" i="44"/>
  <c r="F18" i="44"/>
  <c r="F16" i="44"/>
  <c r="F15" i="44"/>
  <c r="F14" i="44"/>
  <c r="F13" i="44"/>
  <c r="F12" i="44"/>
  <c r="F28" i="32"/>
  <c r="F27" i="32"/>
  <c r="F24" i="32"/>
  <c r="F18" i="32"/>
  <c r="F16" i="32"/>
  <c r="F15" i="32"/>
  <c r="F14" i="32"/>
  <c r="F13" i="32"/>
  <c r="F12" i="32"/>
  <c r="N13" i="47"/>
  <c r="N14" i="47"/>
  <c r="N15" i="47"/>
  <c r="N16" i="47"/>
  <c r="N17" i="47"/>
  <c r="N18" i="47"/>
  <c r="N19" i="47"/>
  <c r="N20" i="47"/>
  <c r="N21" i="47"/>
  <c r="N22" i="47"/>
  <c r="N23" i="47"/>
  <c r="N24" i="47"/>
  <c r="N25" i="47"/>
  <c r="N26" i="47"/>
  <c r="N27" i="47"/>
  <c r="N28" i="47"/>
  <c r="N12" i="47"/>
  <c r="F28" i="47"/>
  <c r="F27" i="47"/>
  <c r="F24" i="47"/>
  <c r="F18" i="47"/>
  <c r="F16" i="47"/>
  <c r="F15" i="47"/>
  <c r="F14" i="47"/>
  <c r="F13" i="47"/>
  <c r="F12" i="47"/>
  <c r="O13" i="46"/>
  <c r="N13" i="46"/>
  <c r="M13" i="46"/>
  <c r="L13" i="46"/>
  <c r="K13" i="46"/>
  <c r="J13" i="46"/>
  <c r="I13" i="46"/>
  <c r="H13" i="46"/>
  <c r="G13" i="46"/>
  <c r="F13" i="46"/>
  <c r="E13" i="46"/>
  <c r="D13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E17" i="46"/>
  <c r="F17" i="46"/>
  <c r="G17" i="46"/>
  <c r="H17" i="46"/>
  <c r="I17" i="46"/>
  <c r="J17" i="46"/>
  <c r="K17" i="46"/>
  <c r="L17" i="46"/>
  <c r="M17" i="46"/>
  <c r="N17" i="46"/>
  <c r="O17" i="46"/>
  <c r="D17" i="46"/>
  <c r="F16" i="46"/>
  <c r="L16" i="46"/>
  <c r="R16" i="46"/>
  <c r="X16" i="46"/>
  <c r="C20" i="46"/>
  <c r="H20" i="46" s="1"/>
  <c r="C16" i="46"/>
  <c r="G16" i="46" s="1"/>
  <c r="F28" i="45"/>
  <c r="F27" i="45"/>
  <c r="F24" i="45"/>
  <c r="F18" i="45"/>
  <c r="F16" i="45"/>
  <c r="F15" i="45"/>
  <c r="F14" i="45"/>
  <c r="F13" i="45"/>
  <c r="F12" i="45"/>
  <c r="H12" i="45" s="1"/>
  <c r="F28" i="48"/>
  <c r="F27" i="48"/>
  <c r="F24" i="48"/>
  <c r="F18" i="48"/>
  <c r="H18" i="48" s="1"/>
  <c r="F16" i="48"/>
  <c r="H16" i="48" s="1"/>
  <c r="J16" i="48" s="1"/>
  <c r="F15" i="48"/>
  <c r="H15" i="48" s="1"/>
  <c r="J15" i="48" s="1"/>
  <c r="F14" i="48"/>
  <c r="F13" i="48"/>
  <c r="H13" i="48" s="1"/>
  <c r="F12" i="48"/>
  <c r="H18" i="44"/>
  <c r="J18" i="44" s="1"/>
  <c r="H16" i="44"/>
  <c r="H14" i="44"/>
  <c r="H13" i="44"/>
  <c r="M37" i="44"/>
  <c r="M35" i="44"/>
  <c r="M39" i="44" s="1"/>
  <c r="J33" i="43"/>
  <c r="K39" i="44"/>
  <c r="K37" i="44"/>
  <c r="K35" i="44"/>
  <c r="J37" i="43"/>
  <c r="F16" i="49"/>
  <c r="H16" i="49" s="1"/>
  <c r="J16" i="49" s="1"/>
  <c r="F28" i="49"/>
  <c r="F27" i="49"/>
  <c r="F24" i="49"/>
  <c r="F18" i="49"/>
  <c r="F15" i="49"/>
  <c r="H15" i="49" s="1"/>
  <c r="J15" i="49" s="1"/>
  <c r="F14" i="49"/>
  <c r="H14" i="49" s="1"/>
  <c r="F13" i="49"/>
  <c r="F12" i="49"/>
  <c r="H12" i="49" s="1"/>
  <c r="J12" i="49" s="1"/>
  <c r="J35" i="43"/>
  <c r="F28" i="43"/>
  <c r="F27" i="43"/>
  <c r="F24" i="43"/>
  <c r="H18" i="43"/>
  <c r="J18" i="43" s="1"/>
  <c r="M18" i="43" s="1"/>
  <c r="F16" i="43"/>
  <c r="F15" i="43"/>
  <c r="H15" i="43" s="1"/>
  <c r="F14" i="43"/>
  <c r="H14" i="43" s="1"/>
  <c r="F13" i="43"/>
  <c r="F12" i="43"/>
  <c r="H16" i="47"/>
  <c r="H15" i="47"/>
  <c r="H14" i="47"/>
  <c r="J14" i="47" s="1"/>
  <c r="H13" i="47"/>
  <c r="H13" i="42"/>
  <c r="K28" i="49"/>
  <c r="I28" i="49"/>
  <c r="J28" i="49" s="1"/>
  <c r="K27" i="49"/>
  <c r="I24" i="49"/>
  <c r="H18" i="49"/>
  <c r="I15" i="49"/>
  <c r="H13" i="49"/>
  <c r="I12" i="49"/>
  <c r="J6" i="49"/>
  <c r="I27" i="49" s="1"/>
  <c r="J5" i="49"/>
  <c r="J4" i="49"/>
  <c r="I16" i="49" s="1"/>
  <c r="A2" i="49"/>
  <c r="K28" i="48"/>
  <c r="I28" i="48"/>
  <c r="J28" i="48" s="1"/>
  <c r="K27" i="48"/>
  <c r="I24" i="48"/>
  <c r="J24" i="48" s="1"/>
  <c r="J25" i="48" s="1"/>
  <c r="I15" i="48"/>
  <c r="H14" i="48"/>
  <c r="I12" i="48"/>
  <c r="H12" i="48"/>
  <c r="J12" i="48" s="1"/>
  <c r="J6" i="48"/>
  <c r="I27" i="48" s="1"/>
  <c r="J27" i="48" s="1"/>
  <c r="J5" i="48"/>
  <c r="J4" i="48"/>
  <c r="I16" i="48" s="1"/>
  <c r="A2" i="48"/>
  <c r="K28" i="47"/>
  <c r="K27" i="47"/>
  <c r="I27" i="47"/>
  <c r="J27" i="47" s="1"/>
  <c r="I24" i="47"/>
  <c r="J24" i="47" s="1"/>
  <c r="J25" i="47" s="1"/>
  <c r="I18" i="47"/>
  <c r="H18" i="47"/>
  <c r="J18" i="47" s="1"/>
  <c r="I14" i="47"/>
  <c r="H12" i="47"/>
  <c r="J6" i="47"/>
  <c r="I28" i="47" s="1"/>
  <c r="J5" i="47"/>
  <c r="J4" i="47"/>
  <c r="I16" i="47" s="1"/>
  <c r="A2" i="47"/>
  <c r="A2" i="44"/>
  <c r="A2" i="43"/>
  <c r="A2" i="42"/>
  <c r="A2" i="32"/>
  <c r="A2" i="41"/>
  <c r="C6" i="6"/>
  <c r="K28" i="45"/>
  <c r="K27" i="45"/>
  <c r="I24" i="45"/>
  <c r="J6" i="45"/>
  <c r="I27" i="45" s="1"/>
  <c r="J5" i="45"/>
  <c r="J4" i="45"/>
  <c r="I18" i="45" s="1"/>
  <c r="K28" i="44"/>
  <c r="K27" i="44"/>
  <c r="I24" i="44"/>
  <c r="H15" i="44"/>
  <c r="H12" i="44"/>
  <c r="J6" i="44"/>
  <c r="I27" i="44" s="1"/>
  <c r="J5" i="44"/>
  <c r="J4" i="44"/>
  <c r="I18" i="44" s="1"/>
  <c r="H15" i="42"/>
  <c r="K28" i="43"/>
  <c r="K27" i="43"/>
  <c r="I24" i="43"/>
  <c r="H16" i="43"/>
  <c r="H13" i="43"/>
  <c r="H12" i="43"/>
  <c r="J6" i="43"/>
  <c r="I27" i="43" s="1"/>
  <c r="J5" i="43"/>
  <c r="J4" i="43"/>
  <c r="I18" i="43" s="1"/>
  <c r="F16" i="41"/>
  <c r="F15" i="41"/>
  <c r="F14" i="41"/>
  <c r="F13" i="41"/>
  <c r="H13" i="41" s="1"/>
  <c r="F12" i="41"/>
  <c r="H12" i="32"/>
  <c r="H18" i="42"/>
  <c r="J18" i="42" s="1"/>
  <c r="H16" i="42"/>
  <c r="H14" i="42"/>
  <c r="H12" i="42"/>
  <c r="K28" i="42"/>
  <c r="K27" i="42"/>
  <c r="I24" i="42"/>
  <c r="J6" i="42"/>
  <c r="I27" i="42" s="1"/>
  <c r="J27" i="42" s="1"/>
  <c r="J5" i="42"/>
  <c r="J4" i="42"/>
  <c r="I18" i="42" s="1"/>
  <c r="K28" i="41"/>
  <c r="K27" i="41"/>
  <c r="I24" i="41"/>
  <c r="J24" i="41" s="1"/>
  <c r="J25" i="41" s="1"/>
  <c r="H18" i="41"/>
  <c r="J18" i="41" s="1"/>
  <c r="H16" i="41"/>
  <c r="H15" i="41"/>
  <c r="H14" i="41"/>
  <c r="H12" i="41"/>
  <c r="J6" i="41"/>
  <c r="I27" i="41" s="1"/>
  <c r="J27" i="41" s="1"/>
  <c r="J5" i="41"/>
  <c r="J4" i="41"/>
  <c r="I18" i="41" s="1"/>
  <c r="K27" i="32"/>
  <c r="K28" i="32"/>
  <c r="W16" i="46" l="1"/>
  <c r="Q16" i="46"/>
  <c r="K16" i="46"/>
  <c r="E16" i="46"/>
  <c r="X20" i="46"/>
  <c r="R20" i="46"/>
  <c r="L20" i="46"/>
  <c r="F20" i="46"/>
  <c r="V16" i="46"/>
  <c r="P16" i="46"/>
  <c r="J16" i="46"/>
  <c r="D16" i="46"/>
  <c r="AB16" i="46" s="1"/>
  <c r="W20" i="46"/>
  <c r="Q20" i="46"/>
  <c r="K20" i="46"/>
  <c r="E20" i="46"/>
  <c r="AA16" i="46"/>
  <c r="U16" i="46"/>
  <c r="O16" i="46"/>
  <c r="I16" i="46"/>
  <c r="D20" i="46"/>
  <c r="V20" i="46"/>
  <c r="P20" i="46"/>
  <c r="J20" i="46"/>
  <c r="Z16" i="46"/>
  <c r="T16" i="46"/>
  <c r="N16" i="46"/>
  <c r="H16" i="46"/>
  <c r="AA20" i="46"/>
  <c r="U20" i="46"/>
  <c r="O20" i="46"/>
  <c r="I20" i="46"/>
  <c r="Y16" i="46"/>
  <c r="S16" i="46"/>
  <c r="M16" i="46"/>
  <c r="Z20" i="46"/>
  <c r="T20" i="46"/>
  <c r="N20" i="46"/>
  <c r="N21" i="43"/>
  <c r="O21" i="43" s="1"/>
  <c r="O18" i="43"/>
  <c r="J24" i="45"/>
  <c r="J25" i="45" s="1"/>
  <c r="H18" i="45"/>
  <c r="J18" i="45" s="1"/>
  <c r="J27" i="45"/>
  <c r="H15" i="45"/>
  <c r="J15" i="45" s="1"/>
  <c r="J29" i="48"/>
  <c r="J30" i="48" s="1"/>
  <c r="J27" i="44"/>
  <c r="J24" i="44"/>
  <c r="J25" i="44" s="1"/>
  <c r="J27" i="49"/>
  <c r="J29" i="49" s="1"/>
  <c r="J24" i="49"/>
  <c r="J25" i="49" s="1"/>
  <c r="J27" i="43"/>
  <c r="J24" i="43"/>
  <c r="J25" i="43" s="1"/>
  <c r="H16" i="45"/>
  <c r="H14" i="45"/>
  <c r="J28" i="47"/>
  <c r="J29" i="47" s="1"/>
  <c r="J30" i="47" s="1"/>
  <c r="J24" i="42"/>
  <c r="J25" i="42" s="1"/>
  <c r="H13" i="45"/>
  <c r="I14" i="49"/>
  <c r="J14" i="49" s="1"/>
  <c r="I18" i="49"/>
  <c r="J18" i="49" s="1"/>
  <c r="I13" i="49"/>
  <c r="J13" i="49" s="1"/>
  <c r="J13" i="48"/>
  <c r="I14" i="48"/>
  <c r="J14" i="48" s="1"/>
  <c r="I18" i="48"/>
  <c r="J18" i="48" s="1"/>
  <c r="I13" i="48"/>
  <c r="J15" i="47"/>
  <c r="J13" i="47"/>
  <c r="J16" i="47"/>
  <c r="I12" i="47"/>
  <c r="J12" i="47" s="1"/>
  <c r="I15" i="47"/>
  <c r="I13" i="47"/>
  <c r="I12" i="45"/>
  <c r="J12" i="45" s="1"/>
  <c r="I15" i="45"/>
  <c r="I28" i="45"/>
  <c r="J28" i="45" s="1"/>
  <c r="I13" i="45"/>
  <c r="I14" i="45"/>
  <c r="I16" i="45"/>
  <c r="J12" i="44"/>
  <c r="J16" i="44"/>
  <c r="I28" i="44"/>
  <c r="J28" i="44" s="1"/>
  <c r="I12" i="44"/>
  <c r="I13" i="44"/>
  <c r="J13" i="44" s="1"/>
  <c r="I14" i="44"/>
  <c r="J14" i="44" s="1"/>
  <c r="I15" i="44"/>
  <c r="J15" i="44" s="1"/>
  <c r="I16" i="44"/>
  <c r="J15" i="43"/>
  <c r="J16" i="43"/>
  <c r="I12" i="43"/>
  <c r="J12" i="43" s="1"/>
  <c r="I16" i="43"/>
  <c r="I28" i="43"/>
  <c r="J28" i="43" s="1"/>
  <c r="J29" i="43" s="1"/>
  <c r="I13" i="43"/>
  <c r="J13" i="43" s="1"/>
  <c r="I14" i="43"/>
  <c r="J14" i="43" s="1"/>
  <c r="I15" i="43"/>
  <c r="J15" i="42"/>
  <c r="J16" i="42"/>
  <c r="I12" i="42"/>
  <c r="J12" i="42" s="1"/>
  <c r="I15" i="42"/>
  <c r="I28" i="42"/>
  <c r="J28" i="42" s="1"/>
  <c r="J29" i="42" s="1"/>
  <c r="I13" i="42"/>
  <c r="J13" i="42" s="1"/>
  <c r="I14" i="42"/>
  <c r="J14" i="42" s="1"/>
  <c r="I16" i="42"/>
  <c r="J29" i="41"/>
  <c r="J30" i="41" s="1"/>
  <c r="J15" i="41"/>
  <c r="J16" i="41"/>
  <c r="I12" i="41"/>
  <c r="J12" i="41" s="1"/>
  <c r="I15" i="41"/>
  <c r="I28" i="41"/>
  <c r="J28" i="41" s="1"/>
  <c r="I13" i="41"/>
  <c r="J13" i="41" s="1"/>
  <c r="I14" i="41"/>
  <c r="J14" i="41" s="1"/>
  <c r="I16" i="41"/>
  <c r="J30" i="42" l="1"/>
  <c r="J29" i="44"/>
  <c r="J30" i="44" s="1"/>
  <c r="J29" i="45"/>
  <c r="J30" i="45" s="1"/>
  <c r="J13" i="45"/>
  <c r="J30" i="49"/>
  <c r="J19" i="49"/>
  <c r="J30" i="43"/>
  <c r="J16" i="45"/>
  <c r="J14" i="45"/>
  <c r="J19" i="47"/>
  <c r="J31" i="47" s="1"/>
  <c r="J19" i="48"/>
  <c r="J31" i="48" s="1"/>
  <c r="J19" i="44"/>
  <c r="J31" i="44" s="1"/>
  <c r="C18" i="46" s="1"/>
  <c r="J19" i="43"/>
  <c r="J19" i="41"/>
  <c r="J31" i="41" s="1"/>
  <c r="C6" i="46" s="1"/>
  <c r="J19" i="42"/>
  <c r="J31" i="42" s="1"/>
  <c r="C10" i="46" s="1"/>
  <c r="D10" i="46" s="1"/>
  <c r="J6" i="32"/>
  <c r="I28" i="32" s="1"/>
  <c r="J5" i="32"/>
  <c r="J4" i="32"/>
  <c r="D73" i="6"/>
  <c r="D52" i="6"/>
  <c r="H73" i="6"/>
  <c r="H62" i="6"/>
  <c r="H52" i="6"/>
  <c r="H41" i="6"/>
  <c r="D41" i="6"/>
  <c r="H26" i="6"/>
  <c r="D26" i="6"/>
  <c r="D59" i="6" s="1"/>
  <c r="L23" i="6"/>
  <c r="L22" i="6"/>
  <c r="D58" i="6"/>
  <c r="Y6" i="46" l="1"/>
  <c r="D6" i="46"/>
  <c r="I6" i="46"/>
  <c r="P6" i="46"/>
  <c r="H6" i="46"/>
  <c r="F6" i="46"/>
  <c r="M6" i="46"/>
  <c r="G6" i="46"/>
  <c r="L6" i="46"/>
  <c r="R6" i="46"/>
  <c r="K6" i="46"/>
  <c r="U6" i="46"/>
  <c r="Q6" i="46"/>
  <c r="X6" i="46"/>
  <c r="O6" i="46"/>
  <c r="N6" i="46"/>
  <c r="V6" i="46"/>
  <c r="S6" i="46"/>
  <c r="E6" i="46"/>
  <c r="AA6" i="46"/>
  <c r="W6" i="46"/>
  <c r="T6" i="46"/>
  <c r="Z6" i="46"/>
  <c r="J6" i="46"/>
  <c r="H18" i="46"/>
  <c r="P18" i="46"/>
  <c r="V18" i="46"/>
  <c r="D18" i="46"/>
  <c r="I18" i="46"/>
  <c r="Q18" i="46"/>
  <c r="W18" i="46"/>
  <c r="L18" i="46"/>
  <c r="S18" i="46"/>
  <c r="Y18" i="46"/>
  <c r="J18" i="46"/>
  <c r="M18" i="46"/>
  <c r="T18" i="46"/>
  <c r="Z18" i="46"/>
  <c r="R18" i="46"/>
  <c r="F18" i="46"/>
  <c r="N18" i="46"/>
  <c r="U18" i="46"/>
  <c r="AA18" i="46"/>
  <c r="X18" i="46"/>
  <c r="E18" i="46"/>
  <c r="G18" i="46"/>
  <c r="O18" i="46"/>
  <c r="K18" i="46"/>
  <c r="C12" i="46"/>
  <c r="J31" i="49"/>
  <c r="J31" i="43"/>
  <c r="C14" i="46" s="1"/>
  <c r="D14" i="46" s="1"/>
  <c r="J19" i="45"/>
  <c r="J31" i="45" s="1"/>
  <c r="T10" i="46"/>
  <c r="U10" i="46"/>
  <c r="V10" i="46"/>
  <c r="W10" i="46"/>
  <c r="Z10" i="46"/>
  <c r="E10" i="46"/>
  <c r="F10" i="46"/>
  <c r="G10" i="46"/>
  <c r="X10" i="46"/>
  <c r="Y10" i="46"/>
  <c r="AA10" i="46"/>
  <c r="H10" i="46"/>
  <c r="I10" i="46"/>
  <c r="J10" i="46"/>
  <c r="K10" i="46"/>
  <c r="L10" i="46"/>
  <c r="M10" i="46"/>
  <c r="N10" i="46"/>
  <c r="O10" i="46"/>
  <c r="P10" i="46"/>
  <c r="Q10" i="46"/>
  <c r="R10" i="46"/>
  <c r="S10" i="46"/>
  <c r="J28" i="32"/>
  <c r="I15" i="32"/>
  <c r="I12" i="32"/>
  <c r="I16" i="32"/>
  <c r="I18" i="32"/>
  <c r="I14" i="32"/>
  <c r="I13" i="32"/>
  <c r="I24" i="32"/>
  <c r="I27" i="32"/>
  <c r="L24" i="6"/>
  <c r="L26" i="6" s="1"/>
  <c r="K40" i="6" s="1"/>
  <c r="D76" i="6"/>
  <c r="D62" i="6"/>
  <c r="H76" i="6"/>
  <c r="K34" i="6" s="1"/>
  <c r="K6" i="6"/>
  <c r="K7" i="6"/>
  <c r="K33" i="6"/>
  <c r="AB6" i="46" l="1"/>
  <c r="O14" i="46"/>
  <c r="X14" i="46"/>
  <c r="U14" i="46"/>
  <c r="I14" i="46"/>
  <c r="Q14" i="46"/>
  <c r="J14" i="46"/>
  <c r="P14" i="46"/>
  <c r="L14" i="46"/>
  <c r="M14" i="46"/>
  <c r="Z14" i="46"/>
  <c r="Y14" i="46"/>
  <c r="E14" i="46"/>
  <c r="V14" i="46"/>
  <c r="G14" i="46"/>
  <c r="K14" i="46"/>
  <c r="F14" i="46"/>
  <c r="S14" i="46"/>
  <c r="N14" i="46"/>
  <c r="R14" i="46"/>
  <c r="T14" i="46"/>
  <c r="W14" i="46"/>
  <c r="AA14" i="46"/>
  <c r="H14" i="46"/>
  <c r="AB18" i="46"/>
  <c r="AB20" i="46"/>
  <c r="Z12" i="46"/>
  <c r="T12" i="46"/>
  <c r="D12" i="46"/>
  <c r="L12" i="46"/>
  <c r="V12" i="46"/>
  <c r="N12" i="46"/>
  <c r="F12" i="46"/>
  <c r="H12" i="46"/>
  <c r="J12" i="46"/>
  <c r="G12" i="46"/>
  <c r="W12" i="46"/>
  <c r="E12" i="46"/>
  <c r="U12" i="46"/>
  <c r="S12" i="46"/>
  <c r="P12" i="46"/>
  <c r="R12" i="46"/>
  <c r="K12" i="46"/>
  <c r="AA12" i="46"/>
  <c r="I12" i="46"/>
  <c r="X12" i="46"/>
  <c r="O12" i="46"/>
  <c r="M12" i="46"/>
  <c r="Y12" i="46"/>
  <c r="Q12" i="46"/>
  <c r="AB10" i="46"/>
  <c r="J12" i="32"/>
  <c r="J24" i="32"/>
  <c r="J25" i="32" s="1"/>
  <c r="J27" i="32"/>
  <c r="J29" i="32" s="1"/>
  <c r="H13" i="32"/>
  <c r="J13" i="32" s="1"/>
  <c r="K5" i="6"/>
  <c r="AB14" i="46" l="1"/>
  <c r="J30" i="32"/>
  <c r="AB12" i="46"/>
  <c r="H14" i="32"/>
  <c r="J14" i="32" s="1"/>
  <c r="H15" i="32"/>
  <c r="J15" i="32" s="1"/>
  <c r="H18" i="32"/>
  <c r="J18" i="32" s="1"/>
  <c r="H16" i="32"/>
  <c r="J16" i="32" s="1"/>
  <c r="J19" i="32" l="1"/>
  <c r="J31" i="32" s="1"/>
  <c r="C8" i="46" l="1"/>
  <c r="C27" i="46"/>
  <c r="T8" i="46" l="1"/>
  <c r="T22" i="46" s="1"/>
  <c r="D8" i="46"/>
  <c r="N8" i="46"/>
  <c r="N22" i="46" s="1"/>
  <c r="Z8" i="46"/>
  <c r="Z22" i="46" s="1"/>
  <c r="P8" i="46"/>
  <c r="P22" i="46" s="1"/>
  <c r="AA8" i="46"/>
  <c r="AA22" i="46" s="1"/>
  <c r="E8" i="46"/>
  <c r="E22" i="46" s="1"/>
  <c r="X8" i="46"/>
  <c r="X22" i="46" s="1"/>
  <c r="G8" i="46"/>
  <c r="G22" i="46" s="1"/>
  <c r="I8" i="46"/>
  <c r="I22" i="46" s="1"/>
  <c r="K8" i="46"/>
  <c r="K22" i="46" s="1"/>
  <c r="M8" i="46"/>
  <c r="M22" i="46" s="1"/>
  <c r="L8" i="46"/>
  <c r="L22" i="46" s="1"/>
  <c r="O8" i="46"/>
  <c r="S8" i="46"/>
  <c r="S22" i="46" s="1"/>
  <c r="H8" i="46"/>
  <c r="H22" i="46" s="1"/>
  <c r="Y8" i="46"/>
  <c r="Y22" i="46" s="1"/>
  <c r="W8" i="46"/>
  <c r="W22" i="46" s="1"/>
  <c r="F8" i="46"/>
  <c r="F22" i="46" s="1"/>
  <c r="R8" i="46"/>
  <c r="R22" i="46" s="1"/>
  <c r="Q8" i="46"/>
  <c r="Q22" i="46" s="1"/>
  <c r="V8" i="46"/>
  <c r="V22" i="46" s="1"/>
  <c r="U8" i="46"/>
  <c r="U22" i="46" s="1"/>
  <c r="J8" i="46"/>
  <c r="J22" i="46" s="1"/>
  <c r="C22" i="46"/>
  <c r="O22" i="46" l="1"/>
  <c r="B10" i="46"/>
  <c r="B8" i="46"/>
  <c r="B20" i="46"/>
  <c r="B6" i="46"/>
  <c r="B12" i="46"/>
  <c r="B14" i="46"/>
  <c r="B16" i="46"/>
  <c r="B18" i="46"/>
  <c r="AB8" i="46"/>
  <c r="AB22" i="46" s="1"/>
  <c r="D22" i="46"/>
  <c r="D23" i="46" s="1"/>
  <c r="E23" i="46" s="1"/>
  <c r="F23" i="46" s="1"/>
  <c r="G23" i="46" s="1"/>
  <c r="H23" i="46" s="1"/>
  <c r="I23" i="46" s="1"/>
  <c r="J23" i="46" s="1"/>
  <c r="K23" i="46" s="1"/>
  <c r="L23" i="46" s="1"/>
  <c r="M23" i="46" s="1"/>
  <c r="N23" i="46" s="1"/>
  <c r="O23" i="46" s="1"/>
  <c r="P23" i="46" l="1"/>
  <c r="Q23" i="46" s="1"/>
  <c r="R23" i="46" s="1"/>
  <c r="S23" i="46" s="1"/>
  <c r="T23" i="46" s="1"/>
  <c r="U23" i="46" s="1"/>
  <c r="V23" i="46" s="1"/>
  <c r="W23" i="46" s="1"/>
  <c r="X23" i="46" s="1"/>
  <c r="Y23" i="46" s="1"/>
  <c r="Z23" i="46" s="1"/>
  <c r="AA23" i="46" s="1"/>
  <c r="AB23" i="46" s="1"/>
  <c r="AB27" i="46" s="1"/>
</calcChain>
</file>

<file path=xl/sharedStrings.xml><?xml version="1.0" encoding="utf-8"?>
<sst xmlns="http://schemas.openxmlformats.org/spreadsheetml/2006/main" count="1085" uniqueCount="190">
  <si>
    <t>Fatores K</t>
  </si>
  <si>
    <t>Data:</t>
  </si>
  <si>
    <t>TRDE</t>
  </si>
  <si>
    <t>Item</t>
  </si>
  <si>
    <t>Código</t>
  </si>
  <si>
    <t>Descrição</t>
  </si>
  <si>
    <t>Unidade</t>
  </si>
  <si>
    <t>Custo Unit. (R$)</t>
  </si>
  <si>
    <t>Preço (R$)</t>
  </si>
  <si>
    <t>Recursos Humanos - Equipe Permanente</t>
  </si>
  <si>
    <t>1.1</t>
  </si>
  <si>
    <t>Equipe de Nível Superior</t>
  </si>
  <si>
    <t>1.1.1</t>
  </si>
  <si>
    <t>H</t>
  </si>
  <si>
    <t>1.1.2</t>
  </si>
  <si>
    <t>1.2</t>
  </si>
  <si>
    <t>Equipe de Nível Técnico</t>
  </si>
  <si>
    <t>1.2.1</t>
  </si>
  <si>
    <t>TOTAL DO ITEM 1</t>
  </si>
  <si>
    <t>2.1</t>
  </si>
  <si>
    <t>TOTAL DO ITEM 2</t>
  </si>
  <si>
    <t>Informações</t>
  </si>
  <si>
    <t>Qtid.</t>
  </si>
  <si>
    <t>Despesas Diretas</t>
  </si>
  <si>
    <t>Aluguel de Veículos</t>
  </si>
  <si>
    <t>mês</t>
  </si>
  <si>
    <t>Viagens e Diárias</t>
  </si>
  <si>
    <t>Diária Nível Superior</t>
  </si>
  <si>
    <t>und</t>
  </si>
  <si>
    <t>TOTAL GERAL DO ORÇAMENTO</t>
  </si>
  <si>
    <t>ITEM</t>
  </si>
  <si>
    <t>DESCRIÇÃO</t>
  </si>
  <si>
    <t>MESES</t>
  </si>
  <si>
    <t>Referência:</t>
  </si>
  <si>
    <t>K =</t>
  </si>
  <si>
    <t>K' =</t>
  </si>
  <si>
    <t>TRDE =</t>
  </si>
  <si>
    <t>Custo Total (R$)</t>
  </si>
  <si>
    <t>A2</t>
  </si>
  <si>
    <t>Fonte</t>
  </si>
  <si>
    <t>EMBASA</t>
  </si>
  <si>
    <t>FATOR K1 - ENCARGOS SOCIAIS - MAO DE OBRA PERMANENTE</t>
  </si>
  <si>
    <t>FATOR K1' - ENCARGOS SOCIAIS - CONSULTORIA</t>
  </si>
  <si>
    <t>FATOR K2 - ADMINISTRAÇÃO CENTRAL</t>
  </si>
  <si>
    <t>ES = ENCARGOS E BENEFÍCIOS SOCIAIS</t>
  </si>
  <si>
    <t xml:space="preserve">K2 = </t>
  </si>
  <si>
    <t>GRUPO A</t>
  </si>
  <si>
    <t xml:space="preserve">FATOR K3 - LUCRO BRUTO </t>
  </si>
  <si>
    <t>%</t>
  </si>
  <si>
    <t xml:space="preserve">K3 = </t>
  </si>
  <si>
    <t>A1</t>
  </si>
  <si>
    <t>INSS</t>
  </si>
  <si>
    <t>FATOR K4 - RELATIVO AOS TRIBUTOS</t>
  </si>
  <si>
    <t>SESI</t>
  </si>
  <si>
    <t>A3</t>
  </si>
  <si>
    <t>SENAI</t>
  </si>
  <si>
    <t>*K4 = 1/(1-I)</t>
  </si>
  <si>
    <t>A4</t>
  </si>
  <si>
    <t>INCRA</t>
  </si>
  <si>
    <t>A5</t>
  </si>
  <si>
    <t>SEBRAE</t>
  </si>
  <si>
    <t>ISS =</t>
  </si>
  <si>
    <t>A6</t>
  </si>
  <si>
    <t>Salário Educação</t>
  </si>
  <si>
    <t>COFINS =</t>
  </si>
  <si>
    <t>A7</t>
  </si>
  <si>
    <t>Seguro contra Acidente de Trabalho</t>
  </si>
  <si>
    <t>PIS =</t>
  </si>
  <si>
    <t>A8</t>
  </si>
  <si>
    <t>FGTS</t>
  </si>
  <si>
    <t xml:space="preserve">Total </t>
  </si>
  <si>
    <t>Total</t>
  </si>
  <si>
    <t xml:space="preserve">K4 = </t>
  </si>
  <si>
    <t>GRUPO B</t>
  </si>
  <si>
    <t xml:space="preserve">Cálculo do fator K: </t>
  </si>
  <si>
    <t>K = (1+K1+K2)(1+K3)(1+K4)</t>
  </si>
  <si>
    <t>B1</t>
  </si>
  <si>
    <t>Férias</t>
  </si>
  <si>
    <t>B2</t>
  </si>
  <si>
    <t>Aviso Prévio Trabalhado (90%)</t>
  </si>
  <si>
    <t xml:space="preserve">K = </t>
  </si>
  <si>
    <t>B3</t>
  </si>
  <si>
    <t>Auxílio Enfermidade</t>
  </si>
  <si>
    <t xml:space="preserve">K' = </t>
  </si>
  <si>
    <t>B4</t>
  </si>
  <si>
    <t>Gratificação Natalina (13º)</t>
  </si>
  <si>
    <t>B5</t>
  </si>
  <si>
    <t>Aviso Prévio Indenizado</t>
  </si>
  <si>
    <t xml:space="preserve">Cálculo da TRDE: </t>
  </si>
  <si>
    <t>B6</t>
  </si>
  <si>
    <t>Licença Paternidade</t>
  </si>
  <si>
    <t>B7</t>
  </si>
  <si>
    <t>Ausências Abonadas</t>
  </si>
  <si>
    <t>TRDE = (1+K3)(1+K4)</t>
  </si>
  <si>
    <t>B8</t>
  </si>
  <si>
    <t>Acidente de Trabalho</t>
  </si>
  <si>
    <t xml:space="preserve">TRDE = </t>
  </si>
  <si>
    <t>GRUPO C</t>
  </si>
  <si>
    <t>C1</t>
  </si>
  <si>
    <t>Depósito por Rescisão sem Justa Causa</t>
  </si>
  <si>
    <t>C2</t>
  </si>
  <si>
    <t>Adicional por Aviso Prévio</t>
  </si>
  <si>
    <t>C3</t>
  </si>
  <si>
    <r>
      <t>Aviso Prévio Indenizado (10%)</t>
    </r>
    <r>
      <rPr>
        <vertAlign val="superscript"/>
        <sz val="10"/>
        <rFont val="Calibri"/>
        <family val="2"/>
      </rPr>
      <t>1</t>
    </r>
  </si>
  <si>
    <t>C4</t>
  </si>
  <si>
    <t>Indenização Adicional</t>
  </si>
  <si>
    <t>GRUPO D</t>
  </si>
  <si>
    <t>D1</t>
  </si>
  <si>
    <t>Reincidência Grupo (A) sobre Grupo (B)</t>
  </si>
  <si>
    <t>D2</t>
  </si>
  <si>
    <t>Reincidência do FGTS sobre 13° Salário</t>
  </si>
  <si>
    <t>D3</t>
  </si>
  <si>
    <t>Reincidência FGTS sobre Aviso Prévio</t>
  </si>
  <si>
    <t>GRUPO E</t>
  </si>
  <si>
    <t>2.6.1</t>
  </si>
  <si>
    <t>Auxílio Alimentação</t>
  </si>
  <si>
    <t>2.6.2</t>
  </si>
  <si>
    <t>Vale-transporte</t>
  </si>
  <si>
    <t>2.6.3</t>
  </si>
  <si>
    <t>Assistência Médica</t>
  </si>
  <si>
    <t>2.6.4</t>
  </si>
  <si>
    <t>Seguro Coletivo</t>
  </si>
  <si>
    <t xml:space="preserve">K1 = </t>
  </si>
  <si>
    <t xml:space="preserve">K1' = </t>
  </si>
  <si>
    <t>Licença Paternidade/ Maternidade</t>
  </si>
  <si>
    <t>Depósito por Rescisão sem Justa Causa (50% Saldo FGTS)</t>
  </si>
  <si>
    <t>Indenização adcional (Férias)</t>
  </si>
  <si>
    <t>Reincidêcnai de (A-A2) sobre B5</t>
  </si>
  <si>
    <t>2.6.5</t>
  </si>
  <si>
    <t>EPI</t>
  </si>
  <si>
    <t>VALOR</t>
  </si>
  <si>
    <t>Objeto:</t>
  </si>
  <si>
    <t>Data de Elab.:</t>
  </si>
  <si>
    <t>DESPESAS INDIRETAS</t>
  </si>
  <si>
    <t>CRONOGRAMA DE DESEMBOLSO</t>
  </si>
  <si>
    <t>1.1.3</t>
  </si>
  <si>
    <t>1.1.4</t>
  </si>
  <si>
    <t>1.1.5</t>
  </si>
  <si>
    <t>QTD</t>
  </si>
  <si>
    <t>TOTAL</t>
  </si>
  <si>
    <t>TOTAL ACUMULADO</t>
  </si>
  <si>
    <t>C.H Mensal (h):</t>
  </si>
  <si>
    <t>Duração (meses):</t>
  </si>
  <si>
    <t xml:space="preserve"> Fator K</t>
  </si>
  <si>
    <t>Salário (h) (R$)</t>
  </si>
  <si>
    <t>Alocação (h)</t>
  </si>
  <si>
    <t>Preço Total (R$)</t>
  </si>
  <si>
    <t>Proficionais/Salário</t>
  </si>
  <si>
    <t>Diária Nível Médio/Técnico</t>
  </si>
  <si>
    <t>Engenheiro Civil</t>
  </si>
  <si>
    <t>Engenheiro Sanitarista</t>
  </si>
  <si>
    <t>NS2 - PROFISSIONAL DE NÍVEL SUPERIOR (Experiência profiss. mín.: 3 anos) (M.O
EXCLUSIVA PARA CONSULTORIA, ASSESSORAMENTO E PROJETOS)</t>
  </si>
  <si>
    <t>NS1 - PROFISSIONAL DE NÍVEL SUPERIOR (Experiência profiss. mín.: 8 anos) (M.O
EXCLUSIVA PARA CONSULTORIA, ASSESSORAMENTO E PROJETOS)</t>
  </si>
  <si>
    <t>AS2 - PROFISSIONAL DE NÍVEL SUPERIOR FORMAÇÃO EM SERVIÇO SOCIAL (Experiência
profiss. mín.: 3 anos) (M.O EXCLUSIVA PARA CONSULTORIA, ASSESSORAMENTO E
PROJETOS)</t>
  </si>
  <si>
    <t>B580000006</t>
  </si>
  <si>
    <t>B580000007</t>
  </si>
  <si>
    <t>B580000008</t>
  </si>
  <si>
    <t>B580000013</t>
  </si>
  <si>
    <t>TC4 - PROFISSIONAL DE NÍVEL TÉCNICO (Experiência profiss. mín.: 1 ano) (M.O
EXCLUSIVA PARA CONSULTORIA, ASSESSORAMENTO E PROJETOS)</t>
  </si>
  <si>
    <t>B580000023</t>
  </si>
  <si>
    <t>Aluguel de Veículos tipo Spin (07 lugares ou similar</t>
  </si>
  <si>
    <t>2.2</t>
  </si>
  <si>
    <t>TOTAL DO ITEM 2.1</t>
  </si>
  <si>
    <t>TOTAL DO ITEM 2.2</t>
  </si>
  <si>
    <t>2.2.1</t>
  </si>
  <si>
    <t>2.2.2</t>
  </si>
  <si>
    <t>F030000203</t>
  </si>
  <si>
    <t>F020000340</t>
  </si>
  <si>
    <t>PERCENTUAL</t>
  </si>
  <si>
    <t xml:space="preserve">TOTAL GERAL </t>
  </si>
  <si>
    <t>Junho/2025</t>
  </si>
  <si>
    <r>
      <t xml:space="preserve">Planilhas de Referência: </t>
    </r>
    <r>
      <rPr>
        <sz val="12"/>
        <rFont val="Arial"/>
        <family val="2"/>
      </rPr>
      <t xml:space="preserve"> Junho/2025, Embasa </t>
    </r>
  </si>
  <si>
    <t>Aluguel de Veículos tipo Spin (07 lugares ou similar)</t>
  </si>
  <si>
    <t>outubro/ 2025</t>
  </si>
  <si>
    <t>MACAUBAS R5</t>
  </si>
  <si>
    <t>CHAPADÃO R6</t>
  </si>
  <si>
    <t>Barraginha R8</t>
  </si>
  <si>
    <t>Itapicuru R7</t>
  </si>
  <si>
    <t xml:space="preserve">Relatório 03 - Relatórios de atividades </t>
  </si>
  <si>
    <t>Relatório 01 - Estratégias de Mobilização, Participação Social e Comunicação</t>
  </si>
  <si>
    <t xml:space="preserve">Relatório 02 - Apoio e Assessoramento na elaboração de pareceres técnicos </t>
  </si>
  <si>
    <t>Relatório 04 - Assessoramento e apoio técnico no acompanhamento do contrato nº 09/2025, cujo o objeto é a execução da elaboração de Projeto Básico de Engenharia de Requalificação e Ampliação do Sistema de Abastecimento de Água (SAA) do município de Cocos–Bahia</t>
  </si>
  <si>
    <t>Relatório 05 – Assessoramento e apoio técnico no acompanhamento do contrato nº 08/2025, cujo o objeto é a execução da elaboração de projeto de Sistema de Esgotamento Sanitário do Município de Macaúbas – Bahia</t>
  </si>
  <si>
    <t>Relatório 06 –  Assessoramento e apoio técnico no acompanhamento do contrato nº 10/2025, cujo o objeto é a execução da elaboração de projeto de Reestruturação do Sistema de abastecimento de água das localidades do assentamento de Chapadão, no município de Vitória da Conquista</t>
  </si>
  <si>
    <t>Relatório 07 -Assessoramento e apoio técnico no acompanhamento do contrato nº 13/2023, cujo o objeto é a elaboração de estudo, diagnóstico e proposição de intervenções para a ampliação de oferta hídrica nas bacias hidrográficas dos rios Itapicuru Açu, do Paramirim, Santo Onofre e Alto do Gavião do estado da Bahia</t>
  </si>
  <si>
    <t>Relatório 08 -Assessoramento e apoio técnico no acompanhamento do contrato nº 15/2025, cujo o objeto é a execução da revisão dos projetos existentes das seis barragens sazonais no rio Utinga, no estado da Bahia, bem como a elaboração dos projetos executivos destes barramentos</t>
  </si>
  <si>
    <t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t>
  </si>
  <si>
    <t xml:space="preserve">                                Relatório 04 - Assessoramento e apoio técnico no acompanhamento do contrato nº 09/2025, cujo o objeto é a execução da elaboração de Projeto Básico de Engenharia de Requalificação e Ampliação do Sistema de Abastecimento de Água (SAA) do município de Cocos–Bahia</t>
  </si>
  <si>
    <t xml:space="preserve">            Relatório 07 -Assessoramento e apoio técnico no acompanhamento do contrato nº 13/2023, cujo o objeto é a elaboração de estudo, diagnóstico e proposição de intervenções para a ampliação de oferta hídrica nas bacias hidrográficas dos rios Itapicuru Açu, do Paramirim, Santo Onofre e Alto do Gavião do estado da Bahia</t>
  </si>
  <si>
    <t>OBJETO: 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</si>
</sst>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_(* #,##0.00_);_(* \(#,##0.00\);_(* &quot;-&quot;??_);_(@_)"/>
    <numFmt numFmtId="167" formatCode="&quot;R$&quot;#,##0.00"/>
    <numFmt numFmtId="168" formatCode="_-* #,##0.00_-;\-* #,##0.00_-;_-* &quot;-&quot;???_-;_-@_-"/>
    <numFmt numFmtId="169" formatCode="_-* #,##0.000_-;\-* #,##0.000_-;_-* &quot;-&quot;???_-;_-@_-"/>
    <numFmt numFmtId="170" formatCode="&quot;R$&quot;\ #,##0.00"/>
    <numFmt numFmtId="171" formatCode="0.0000"/>
    <numFmt numFmtId="172" formatCode="0.0000%"/>
    <numFmt numFmtId="173" formatCode="_-* #,##0.000000_-;\-* #,##0.000000_-;_-* &quot;-&quot;??_-;_-@_-"/>
    <numFmt numFmtId="174" formatCode="0.00000000%"/>
    <numFmt numFmtId="175" formatCode="0.000000%"/>
    <numFmt numFmtId="176" formatCode="0.000000"/>
    <numFmt numFmtId="177" formatCode="_-* #,##0.000000000_-;\-* #,##0.000000000_-;_-* &quot;-&quot;??_-;_-@_-"/>
    <numFmt numFmtId="178" formatCode="0.0000000000%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vertAlign val="superscript"/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name val="Aptos Narrow"/>
      <family val="2"/>
    </font>
    <font>
      <sz val="8"/>
      <name val="Calibri"/>
      <family val="2"/>
      <scheme val="minor"/>
    </font>
    <font>
      <sz val="12"/>
      <name val="Calibri"/>
      <family val="2"/>
    </font>
    <font>
      <b/>
      <sz val="12"/>
      <color theme="1"/>
      <name val="Arial"/>
      <family val="2"/>
    </font>
    <font>
      <sz val="16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2" fillId="0" borderId="1">
      <alignment horizontal="center" wrapText="1"/>
    </xf>
    <xf numFmtId="0" fontId="2" fillId="0" borderId="1">
      <alignment horizontal="center" vertical="distributed" shrinkToFit="1"/>
    </xf>
    <xf numFmtId="44" fontId="6" fillId="0" borderId="0" applyFont="0" applyFill="0" applyBorder="0" applyAlignment="0" applyProtection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75">
    <xf numFmtId="0" fontId="0" fillId="0" borderId="0" xfId="0"/>
    <xf numFmtId="0" fontId="3" fillId="0" borderId="2" xfId="4" applyFont="1" applyBorder="1" applyAlignment="1">
      <alignment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horizontal="left" vertical="center" wrapText="1"/>
    </xf>
    <xf numFmtId="0" fontId="3" fillId="2" borderId="0" xfId="4" applyFont="1" applyFill="1" applyAlignment="1">
      <alignment horizontal="center" vertical="center"/>
    </xf>
    <xf numFmtId="166" fontId="2" fillId="0" borderId="5" xfId="9" applyFont="1" applyFill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2" borderId="9" xfId="4" applyFont="1" applyFill="1" applyBorder="1" applyAlignment="1">
      <alignment vertical="center"/>
    </xf>
    <xf numFmtId="0" fontId="2" fillId="0" borderId="10" xfId="4" applyFont="1" applyBorder="1" applyAlignment="1">
      <alignment vertical="center"/>
    </xf>
    <xf numFmtId="0" fontId="2" fillId="0" borderId="5" xfId="4" applyFont="1" applyBorder="1" applyAlignment="1">
      <alignment horizontal="left" vertical="center"/>
    </xf>
    <xf numFmtId="0" fontId="2" fillId="0" borderId="5" xfId="4" applyFont="1" applyBorder="1" applyAlignment="1">
      <alignment vertical="center"/>
    </xf>
    <xf numFmtId="165" fontId="2" fillId="0" borderId="0" xfId="4" applyNumberFormat="1" applyFont="1" applyAlignment="1">
      <alignment horizontal="center" vertical="center"/>
    </xf>
    <xf numFmtId="0" fontId="9" fillId="0" borderId="0" xfId="4" applyFont="1"/>
    <xf numFmtId="0" fontId="9" fillId="0" borderId="2" xfId="4" applyFont="1" applyBorder="1"/>
    <xf numFmtId="0" fontId="9" fillId="0" borderId="11" xfId="4" applyFont="1" applyBorder="1"/>
    <xf numFmtId="0" fontId="10" fillId="0" borderId="12" xfId="4" applyFont="1" applyBorder="1"/>
    <xf numFmtId="0" fontId="9" fillId="0" borderId="13" xfId="4" applyFont="1" applyBorder="1"/>
    <xf numFmtId="0" fontId="9" fillId="0" borderId="14" xfId="4" applyFont="1" applyBorder="1"/>
    <xf numFmtId="0" fontId="10" fillId="0" borderId="15" xfId="4" applyFont="1" applyBorder="1" applyAlignment="1">
      <alignment horizontal="center"/>
    </xf>
    <xf numFmtId="0" fontId="10" fillId="0" borderId="16" xfId="4" applyFont="1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9" fillId="0" borderId="17" xfId="4" applyFont="1" applyBorder="1"/>
    <xf numFmtId="0" fontId="9" fillId="0" borderId="15" xfId="4" applyFont="1" applyBorder="1" applyAlignment="1">
      <alignment horizontal="center"/>
    </xf>
    <xf numFmtId="0" fontId="9" fillId="0" borderId="16" xfId="4" applyFont="1" applyBorder="1" applyAlignment="1">
      <alignment horizontal="left"/>
    </xf>
    <xf numFmtId="10" fontId="9" fillId="0" borderId="17" xfId="7" applyNumberFormat="1" applyFont="1" applyBorder="1" applyAlignment="1">
      <alignment horizontal="right"/>
    </xf>
    <xf numFmtId="10" fontId="9" fillId="0" borderId="0" xfId="4" applyNumberFormat="1" applyFont="1"/>
    <xf numFmtId="10" fontId="11" fillId="0" borderId="17" xfId="7" applyNumberFormat="1" applyFont="1" applyBorder="1" applyAlignment="1"/>
    <xf numFmtId="0" fontId="10" fillId="0" borderId="2" xfId="4" applyFont="1" applyBorder="1"/>
    <xf numFmtId="10" fontId="12" fillId="0" borderId="0" xfId="7" applyNumberFormat="1" applyFont="1" applyBorder="1" applyAlignment="1"/>
    <xf numFmtId="10" fontId="10" fillId="3" borderId="11" xfId="4" applyNumberFormat="1" applyFont="1" applyFill="1" applyBorder="1" applyAlignment="1">
      <alignment wrapText="1"/>
    </xf>
    <xf numFmtId="10" fontId="11" fillId="0" borderId="0" xfId="7" applyNumberFormat="1" applyFont="1" applyBorder="1" applyAlignment="1"/>
    <xf numFmtId="0" fontId="9" fillId="3" borderId="11" xfId="4" applyFont="1" applyFill="1" applyBorder="1"/>
    <xf numFmtId="10" fontId="10" fillId="0" borderId="17" xfId="4" applyNumberFormat="1" applyFont="1" applyBorder="1"/>
    <xf numFmtId="0" fontId="9" fillId="0" borderId="15" xfId="4" applyFont="1" applyBorder="1"/>
    <xf numFmtId="0" fontId="9" fillId="0" borderId="16" xfId="4" applyFont="1" applyBorder="1"/>
    <xf numFmtId="10" fontId="9" fillId="0" borderId="17" xfId="4" applyNumberFormat="1" applyFont="1" applyBorder="1"/>
    <xf numFmtId="0" fontId="10" fillId="0" borderId="16" xfId="4" applyFont="1" applyBorder="1" applyAlignment="1">
      <alignment horizontal="left"/>
    </xf>
    <xf numFmtId="0" fontId="10" fillId="0" borderId="0" xfId="4" applyFont="1" applyAlignment="1">
      <alignment horizontal="left"/>
    </xf>
    <xf numFmtId="10" fontId="10" fillId="0" borderId="11" xfId="4" applyNumberFormat="1" applyFont="1" applyBorder="1"/>
    <xf numFmtId="0" fontId="9" fillId="0" borderId="13" xfId="4" applyFont="1" applyBorder="1" applyAlignment="1">
      <alignment horizontal="left"/>
    </xf>
    <xf numFmtId="10" fontId="9" fillId="0" borderId="14" xfId="4" applyNumberFormat="1" applyFont="1" applyBorder="1"/>
    <xf numFmtId="2" fontId="9" fillId="0" borderId="0" xfId="4" applyNumberFormat="1" applyFont="1"/>
    <xf numFmtId="0" fontId="9" fillId="0" borderId="0" xfId="4" applyFont="1" applyAlignment="1">
      <alignment horizontal="left"/>
    </xf>
    <xf numFmtId="10" fontId="9" fillId="0" borderId="11" xfId="4" applyNumberFormat="1" applyFont="1" applyBorder="1"/>
    <xf numFmtId="10" fontId="10" fillId="0" borderId="0" xfId="4" applyNumberFormat="1" applyFont="1"/>
    <xf numFmtId="10" fontId="10" fillId="0" borderId="17" xfId="4" applyNumberFormat="1" applyFont="1" applyBorder="1" applyAlignment="1">
      <alignment horizontal="center"/>
    </xf>
    <xf numFmtId="10" fontId="9" fillId="0" borderId="17" xfId="7" applyNumberFormat="1" applyFont="1" applyBorder="1" applyAlignment="1"/>
    <xf numFmtId="0" fontId="9" fillId="0" borderId="18" xfId="4" applyFont="1" applyBorder="1"/>
    <xf numFmtId="0" fontId="9" fillId="0" borderId="19" xfId="4" applyFont="1" applyBorder="1"/>
    <xf numFmtId="10" fontId="9" fillId="0" borderId="20" xfId="4" applyNumberFormat="1" applyFont="1" applyBorder="1"/>
    <xf numFmtId="10" fontId="10" fillId="4" borderId="14" xfId="4" applyNumberFormat="1" applyFont="1" applyFill="1" applyBorder="1" applyAlignment="1">
      <alignment wrapText="1"/>
    </xf>
    <xf numFmtId="10" fontId="10" fillId="4" borderId="21" xfId="4" applyNumberFormat="1" applyFont="1" applyFill="1" applyBorder="1" applyAlignment="1">
      <alignment horizontal="center"/>
    </xf>
    <xf numFmtId="0" fontId="10" fillId="4" borderId="21" xfId="4" applyFont="1" applyFill="1" applyBorder="1" applyAlignment="1">
      <alignment horizontal="center"/>
    </xf>
    <xf numFmtId="0" fontId="10" fillId="4" borderId="12" xfId="4" applyFont="1" applyFill="1" applyBorder="1"/>
    <xf numFmtId="0" fontId="9" fillId="4" borderId="13" xfId="4" applyFont="1" applyFill="1" applyBorder="1"/>
    <xf numFmtId="10" fontId="10" fillId="4" borderId="14" xfId="4" applyNumberFormat="1" applyFont="1" applyFill="1" applyBorder="1"/>
    <xf numFmtId="2" fontId="10" fillId="4" borderId="14" xfId="4" applyNumberFormat="1" applyFont="1" applyFill="1" applyBorder="1"/>
    <xf numFmtId="2" fontId="10" fillId="4" borderId="12" xfId="4" applyNumberFormat="1" applyFont="1" applyFill="1" applyBorder="1"/>
    <xf numFmtId="171" fontId="2" fillId="0" borderId="0" xfId="4" applyNumberFormat="1" applyFont="1" applyAlignment="1">
      <alignment horizontal="center" vertical="center"/>
    </xf>
    <xf numFmtId="164" fontId="0" fillId="0" borderId="0" xfId="0" applyNumberFormat="1"/>
    <xf numFmtId="10" fontId="9" fillId="0" borderId="17" xfId="7" applyNumberFormat="1" applyFont="1" applyFill="1" applyBorder="1" applyAlignment="1">
      <alignment horizontal="right"/>
    </xf>
    <xf numFmtId="10" fontId="11" fillId="0" borderId="17" xfId="7" applyNumberFormat="1" applyFont="1" applyFill="1" applyBorder="1" applyAlignment="1"/>
    <xf numFmtId="10" fontId="9" fillId="0" borderId="17" xfId="7" applyNumberFormat="1" applyFont="1" applyFill="1" applyBorder="1" applyAlignment="1"/>
    <xf numFmtId="0" fontId="0" fillId="3" borderId="0" xfId="0" applyFill="1" applyAlignment="1">
      <alignment horizontal="center"/>
    </xf>
    <xf numFmtId="171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2" fontId="6" fillId="3" borderId="0" xfId="3" applyNumberFormat="1" applyFont="1" applyFill="1" applyBorder="1" applyAlignment="1">
      <alignment horizontal="center" vertical="center"/>
    </xf>
    <xf numFmtId="44" fontId="6" fillId="3" borderId="0" xfId="3" applyFont="1" applyFill="1" applyBorder="1" applyAlignment="1">
      <alignment horizontal="center" vertical="center"/>
    </xf>
    <xf numFmtId="167" fontId="2" fillId="0" borderId="5" xfId="4" applyNumberFormat="1" applyFont="1" applyBorder="1" applyAlignment="1">
      <alignment horizontal="right" vertical="center"/>
    </xf>
    <xf numFmtId="0" fontId="3" fillId="0" borderId="0" xfId="4" applyFont="1" applyAlignment="1">
      <alignment horizontal="center" vertical="center" wrapText="1"/>
    </xf>
    <xf numFmtId="0" fontId="3" fillId="4" borderId="0" xfId="4" applyFont="1" applyFill="1" applyAlignment="1">
      <alignment horizontal="center" vertical="center" wrapText="1"/>
    </xf>
    <xf numFmtId="0" fontId="3" fillId="4" borderId="5" xfId="4" applyFont="1" applyFill="1" applyBorder="1" applyAlignment="1">
      <alignment horizontal="center" vertical="center" wrapText="1"/>
    </xf>
    <xf numFmtId="168" fontId="2" fillId="4" borderId="5" xfId="4" applyNumberFormat="1" applyFont="1" applyFill="1" applyBorder="1" applyAlignment="1">
      <alignment vertical="center"/>
    </xf>
    <xf numFmtId="0" fontId="3" fillId="0" borderId="0" xfId="4" applyFont="1" applyAlignment="1">
      <alignment horizontal="left" vertical="center"/>
    </xf>
    <xf numFmtId="0" fontId="2" fillId="0" borderId="32" xfId="4" applyFont="1" applyBorder="1" applyAlignment="1">
      <alignment vertical="center"/>
    </xf>
    <xf numFmtId="0" fontId="3" fillId="0" borderId="3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0" fontId="3" fillId="4" borderId="5" xfId="4" applyFont="1" applyFill="1" applyBorder="1" applyAlignment="1">
      <alignment vertical="center"/>
    </xf>
    <xf numFmtId="0" fontId="2" fillId="0" borderId="5" xfId="4" applyFont="1" applyBorder="1" applyAlignment="1">
      <alignment vertical="center" wrapText="1"/>
    </xf>
    <xf numFmtId="168" fontId="3" fillId="0" borderId="0" xfId="4" applyNumberFormat="1" applyFont="1" applyAlignment="1">
      <alignment vertical="center"/>
    </xf>
    <xf numFmtId="169" fontId="2" fillId="4" borderId="5" xfId="4" applyNumberFormat="1" applyFont="1" applyFill="1" applyBorder="1" applyAlignment="1">
      <alignment vertical="center"/>
    </xf>
    <xf numFmtId="168" fontId="3" fillId="4" borderId="0" xfId="4" applyNumberFormat="1" applyFont="1" applyFill="1" applyAlignment="1">
      <alignment vertical="center"/>
    </xf>
    <xf numFmtId="168" fontId="3" fillId="5" borderId="0" xfId="4" applyNumberFormat="1" applyFont="1" applyFill="1" applyAlignment="1">
      <alignment vertical="center"/>
    </xf>
    <xf numFmtId="168" fontId="3" fillId="2" borderId="0" xfId="4" applyNumberFormat="1" applyFont="1" applyFill="1" applyAlignment="1">
      <alignment vertical="center"/>
    </xf>
    <xf numFmtId="0" fontId="2" fillId="0" borderId="22" xfId="4" applyFont="1" applyBorder="1" applyAlignment="1">
      <alignment horizontal="center" vertical="center"/>
    </xf>
    <xf numFmtId="0" fontId="3" fillId="4" borderId="22" xfId="4" applyFont="1" applyFill="1" applyBorder="1" applyAlignment="1">
      <alignment horizontal="center" vertical="center"/>
    </xf>
    <xf numFmtId="0" fontId="3" fillId="4" borderId="5" xfId="4" applyFont="1" applyFill="1" applyBorder="1" applyAlignment="1">
      <alignment horizontal="center" vertical="center"/>
    </xf>
    <xf numFmtId="166" fontId="7" fillId="0" borderId="5" xfId="9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3" fontId="7" fillId="0" borderId="0" xfId="0" applyNumberFormat="1" applyFont="1" applyAlignment="1">
      <alignment vertical="center"/>
    </xf>
    <xf numFmtId="4" fontId="2" fillId="0" borderId="32" xfId="4" applyNumberFormat="1" applyFont="1" applyBorder="1" applyAlignment="1">
      <alignment horizontal="center" vertical="center"/>
    </xf>
    <xf numFmtId="0" fontId="2" fillId="0" borderId="0" xfId="4" applyFont="1" applyAlignment="1">
      <alignment horizontal="right" vertical="center"/>
    </xf>
    <xf numFmtId="0" fontId="3" fillId="0" borderId="43" xfId="4" applyFont="1" applyBorder="1" applyAlignment="1">
      <alignment horizontal="right" vertical="center"/>
    </xf>
    <xf numFmtId="4" fontId="2" fillId="0" borderId="0" xfId="4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32" xfId="4" applyFont="1" applyBorder="1" applyAlignment="1">
      <alignment horizontal="right" vertical="center"/>
    </xf>
    <xf numFmtId="0" fontId="2" fillId="0" borderId="44" xfId="4" applyFont="1" applyBorder="1" applyAlignment="1">
      <alignment horizontal="right" vertical="center"/>
    </xf>
    <xf numFmtId="165" fontId="2" fillId="0" borderId="3" xfId="4" applyNumberFormat="1" applyFont="1" applyBorder="1" applyAlignment="1">
      <alignment horizontal="right" vertical="center"/>
    </xf>
    <xf numFmtId="4" fontId="2" fillId="0" borderId="5" xfId="4" applyNumberFormat="1" applyFont="1" applyBorder="1" applyAlignment="1">
      <alignment horizontal="right" vertical="center"/>
    </xf>
    <xf numFmtId="165" fontId="2" fillId="0" borderId="5" xfId="4" applyNumberFormat="1" applyFont="1" applyBorder="1" applyAlignment="1">
      <alignment horizontal="right" vertical="center"/>
    </xf>
    <xf numFmtId="168" fontId="2" fillId="0" borderId="24" xfId="4" applyNumberFormat="1" applyFont="1" applyBorder="1" applyAlignment="1">
      <alignment horizontal="right" vertical="center"/>
    </xf>
    <xf numFmtId="2" fontId="2" fillId="0" borderId="5" xfId="4" applyNumberFormat="1" applyFont="1" applyBorder="1" applyAlignment="1">
      <alignment horizontal="right" vertical="center"/>
    </xf>
    <xf numFmtId="169" fontId="2" fillId="0" borderId="24" xfId="4" applyNumberFormat="1" applyFont="1" applyBorder="1" applyAlignment="1">
      <alignment horizontal="right" vertical="center"/>
    </xf>
    <xf numFmtId="168" fontId="3" fillId="4" borderId="24" xfId="4" applyNumberFormat="1" applyFont="1" applyFill="1" applyBorder="1" applyAlignment="1">
      <alignment horizontal="right" vertical="center"/>
    </xf>
    <xf numFmtId="4" fontId="2" fillId="0" borderId="5" xfId="9" applyNumberFormat="1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3" fontId="7" fillId="0" borderId="0" xfId="0" applyNumberFormat="1" applyFont="1" applyAlignment="1">
      <alignment horizontal="right" vertical="center"/>
    </xf>
    <xf numFmtId="49" fontId="2" fillId="0" borderId="0" xfId="4" applyNumberFormat="1" applyFont="1" applyAlignment="1">
      <alignment horizontal="center" vertical="center"/>
    </xf>
    <xf numFmtId="0" fontId="3" fillId="0" borderId="0" xfId="4" applyFont="1" applyAlignment="1">
      <alignment horizontal="right" vertical="center"/>
    </xf>
    <xf numFmtId="4" fontId="2" fillId="0" borderId="0" xfId="4" applyNumberFormat="1" applyFont="1" applyAlignment="1">
      <alignment horizontal="center" vertical="center" wrapText="1"/>
    </xf>
    <xf numFmtId="0" fontId="2" fillId="0" borderId="0" xfId="4" applyFont="1" applyAlignment="1">
      <alignment horizontal="right" vertical="center" wrapText="1"/>
    </xf>
    <xf numFmtId="4" fontId="2" fillId="0" borderId="0" xfId="4" applyNumberFormat="1" applyFont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3" fillId="5" borderId="22" xfId="4" applyFont="1" applyFill="1" applyBorder="1" applyAlignment="1">
      <alignment horizontal="center" vertical="center"/>
    </xf>
    <xf numFmtId="0" fontId="3" fillId="5" borderId="5" xfId="4" applyFont="1" applyFill="1" applyBorder="1" applyAlignment="1">
      <alignment vertical="center"/>
    </xf>
    <xf numFmtId="4" fontId="3" fillId="5" borderId="5" xfId="4" applyNumberFormat="1" applyFont="1" applyFill="1" applyBorder="1" applyAlignment="1">
      <alignment horizontal="right" vertical="center"/>
    </xf>
    <xf numFmtId="0" fontId="3" fillId="5" borderId="5" xfId="4" applyFont="1" applyFill="1" applyBorder="1" applyAlignment="1">
      <alignment horizontal="right" vertical="center"/>
    </xf>
    <xf numFmtId="0" fontId="3" fillId="5" borderId="24" xfId="4" applyFont="1" applyFill="1" applyBorder="1" applyAlignment="1">
      <alignment horizontal="right" vertical="center"/>
    </xf>
    <xf numFmtId="4" fontId="3" fillId="4" borderId="5" xfId="4" applyNumberFormat="1" applyFont="1" applyFill="1" applyBorder="1" applyAlignment="1">
      <alignment horizontal="right" vertical="center"/>
    </xf>
    <xf numFmtId="0" fontId="3" fillId="4" borderId="5" xfId="4" applyFont="1" applyFill="1" applyBorder="1" applyAlignment="1">
      <alignment horizontal="right" vertical="center"/>
    </xf>
    <xf numFmtId="0" fontId="3" fillId="4" borderId="24" xfId="4" applyFont="1" applyFill="1" applyBorder="1" applyAlignment="1">
      <alignment horizontal="right" vertical="center"/>
    </xf>
    <xf numFmtId="168" fontId="3" fillId="5" borderId="24" xfId="4" applyNumberFormat="1" applyFont="1" applyFill="1" applyBorder="1" applyAlignment="1">
      <alignment horizontal="right" vertical="center"/>
    </xf>
    <xf numFmtId="0" fontId="2" fillId="0" borderId="5" xfId="4" applyFont="1" applyBorder="1" applyAlignment="1">
      <alignment horizontal="center" vertical="center" wrapText="1"/>
    </xf>
    <xf numFmtId="168" fontId="3" fillId="2" borderId="25" xfId="4" applyNumberFormat="1" applyFont="1" applyFill="1" applyBorder="1" applyAlignment="1">
      <alignment horizontal="right" vertical="center"/>
    </xf>
    <xf numFmtId="49" fontId="0" fillId="3" borderId="0" xfId="0" applyNumberFormat="1" applyFill="1" applyAlignment="1">
      <alignment horizontal="left" vertical="center"/>
    </xf>
    <xf numFmtId="2" fontId="2" fillId="0" borderId="11" xfId="4" applyNumberFormat="1" applyFont="1" applyBorder="1" applyAlignment="1">
      <alignment horizontal="center" vertical="center"/>
    </xf>
    <xf numFmtId="0" fontId="2" fillId="0" borderId="5" xfId="9" applyNumberFormat="1" applyFont="1" applyFill="1" applyBorder="1" applyAlignment="1">
      <alignment horizontal="center" vertical="center"/>
    </xf>
    <xf numFmtId="4" fontId="3" fillId="0" borderId="0" xfId="4" applyNumberFormat="1" applyFont="1" applyAlignment="1">
      <alignment horizontal="center" vertical="center"/>
    </xf>
    <xf numFmtId="4" fontId="3" fillId="4" borderId="0" xfId="4" applyNumberFormat="1" applyFont="1" applyFill="1" applyAlignment="1">
      <alignment horizontal="center" vertical="center" wrapText="1"/>
    </xf>
    <xf numFmtId="4" fontId="3" fillId="0" borderId="0" xfId="4" applyNumberFormat="1" applyFont="1" applyAlignment="1">
      <alignment horizontal="center" vertical="center" wrapText="1"/>
    </xf>
    <xf numFmtId="4" fontId="3" fillId="4" borderId="5" xfId="4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5" xfId="4" applyNumberFormat="1" applyFont="1" applyBorder="1" applyAlignment="1">
      <alignment horizontal="center" vertical="center"/>
    </xf>
    <xf numFmtId="4" fontId="15" fillId="0" borderId="5" xfId="10" applyNumberFormat="1" applyFont="1" applyBorder="1" applyAlignment="1">
      <alignment horizontal="right" vertical="center" wrapText="1"/>
    </xf>
    <xf numFmtId="0" fontId="16" fillId="0" borderId="50" xfId="0" applyFont="1" applyBorder="1" applyAlignment="1">
      <alignment horizontal="left" vertical="top" wrapText="1"/>
    </xf>
    <xf numFmtId="2" fontId="3" fillId="4" borderId="5" xfId="4" applyNumberFormat="1" applyFont="1" applyFill="1" applyBorder="1" applyAlignment="1">
      <alignment horizontal="right" vertical="center"/>
    </xf>
    <xf numFmtId="0" fontId="18" fillId="0" borderId="50" xfId="0" applyFont="1" applyBorder="1" applyAlignment="1">
      <alignment horizontal="left" vertical="top" wrapText="1"/>
    </xf>
    <xf numFmtId="0" fontId="2" fillId="4" borderId="22" xfId="4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vertical="center"/>
    </xf>
    <xf numFmtId="0" fontId="7" fillId="0" borderId="0" xfId="0" applyFont="1"/>
    <xf numFmtId="164" fontId="7" fillId="0" borderId="0" xfId="0" applyNumberFormat="1" applyFont="1"/>
    <xf numFmtId="0" fontId="19" fillId="3" borderId="2" xfId="0" applyFont="1" applyFill="1" applyBorder="1" applyAlignment="1">
      <alignment horizontal="center" vertical="center"/>
    </xf>
    <xf numFmtId="2" fontId="7" fillId="0" borderId="0" xfId="0" applyNumberFormat="1" applyFont="1"/>
    <xf numFmtId="170" fontId="7" fillId="0" borderId="0" xfId="0" applyNumberFormat="1" applyFont="1"/>
    <xf numFmtId="10" fontId="21" fillId="0" borderId="53" xfId="0" applyNumberFormat="1" applyFont="1" applyBorder="1" applyAlignment="1">
      <alignment horizontal="center" vertical="center"/>
    </xf>
    <xf numFmtId="167" fontId="22" fillId="5" borderId="5" xfId="0" applyNumberFormat="1" applyFont="1" applyFill="1" applyBorder="1" applyAlignment="1">
      <alignment horizontal="center" vertical="center"/>
    </xf>
    <xf numFmtId="167" fontId="22" fillId="5" borderId="24" xfId="0" applyNumberFormat="1" applyFont="1" applyFill="1" applyBorder="1" applyAlignment="1">
      <alignment horizontal="center" vertical="center"/>
    </xf>
    <xf numFmtId="167" fontId="22" fillId="5" borderId="4" xfId="6" applyNumberFormat="1" applyFont="1" applyFill="1" applyBorder="1" applyAlignment="1">
      <alignment horizontal="center" vertical="center"/>
    </xf>
    <xf numFmtId="170" fontId="22" fillId="5" borderId="4" xfId="6" applyNumberFormat="1" applyFont="1" applyFill="1" applyBorder="1" applyAlignment="1">
      <alignment horizontal="center" vertical="center"/>
    </xf>
    <xf numFmtId="167" fontId="22" fillId="5" borderId="25" xfId="6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70" fontId="7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2" fillId="0" borderId="50" xfId="0" applyFont="1" applyBorder="1" applyAlignment="1">
      <alignment horizontal="left" vertical="top" wrapText="1"/>
    </xf>
    <xf numFmtId="9" fontId="7" fillId="0" borderId="0" xfId="6" applyFont="1"/>
    <xf numFmtId="43" fontId="7" fillId="0" borderId="0" xfId="12" applyFont="1" applyAlignment="1">
      <alignment horizontal="right" vertical="center"/>
    </xf>
    <xf numFmtId="10" fontId="7" fillId="0" borderId="0" xfId="6" applyNumberFormat="1" applyFont="1" applyAlignment="1">
      <alignment vertical="center"/>
    </xf>
    <xf numFmtId="43" fontId="23" fillId="6" borderId="0" xfId="12" applyFont="1" applyFill="1" applyAlignment="1">
      <alignment vertical="center"/>
    </xf>
    <xf numFmtId="9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10" fontId="7" fillId="0" borderId="0" xfId="12" applyNumberFormat="1" applyFont="1" applyFill="1" applyAlignment="1">
      <alignment vertical="center"/>
    </xf>
    <xf numFmtId="173" fontId="7" fillId="0" borderId="0" xfId="0" applyNumberFormat="1" applyFont="1" applyAlignment="1">
      <alignment vertical="center"/>
    </xf>
    <xf numFmtId="43" fontId="7" fillId="0" borderId="0" xfId="12" applyFont="1" applyAlignment="1">
      <alignment vertical="center"/>
    </xf>
    <xf numFmtId="43" fontId="7" fillId="0" borderId="0" xfId="12" applyFont="1"/>
    <xf numFmtId="10" fontId="21" fillId="0" borderId="57" xfId="0" applyNumberFormat="1" applyFont="1" applyBorder="1" applyAlignment="1">
      <alignment horizontal="center" vertical="center"/>
    </xf>
    <xf numFmtId="10" fontId="7" fillId="0" borderId="0" xfId="6" applyNumberFormat="1" applyFont="1" applyAlignment="1">
      <alignment horizontal="center"/>
    </xf>
    <xf numFmtId="43" fontId="7" fillId="6" borderId="0" xfId="12" applyFont="1" applyFill="1" applyAlignment="1">
      <alignment horizontal="center"/>
    </xf>
    <xf numFmtId="43" fontId="7" fillId="0" borderId="0" xfId="0" applyNumberFormat="1" applyFont="1" applyAlignment="1">
      <alignment horizontal="center"/>
    </xf>
    <xf numFmtId="44" fontId="7" fillId="0" borderId="0" xfId="0" applyNumberFormat="1" applyFont="1"/>
    <xf numFmtId="174" fontId="7" fillId="0" borderId="0" xfId="6" applyNumberFormat="1" applyFont="1"/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0" fontId="21" fillId="6" borderId="52" xfId="0" applyNumberFormat="1" applyFont="1" applyFill="1" applyBorder="1" applyAlignment="1">
      <alignment horizontal="center" vertical="center"/>
    </xf>
    <xf numFmtId="9" fontId="7" fillId="0" borderId="0" xfId="6" applyFont="1" applyAlignment="1">
      <alignment horizontal="center"/>
    </xf>
    <xf numFmtId="172" fontId="7" fillId="0" borderId="0" xfId="6" applyNumberFormat="1" applyFont="1" applyAlignment="1">
      <alignment horizontal="center"/>
    </xf>
    <xf numFmtId="175" fontId="7" fillId="0" borderId="0" xfId="0" applyNumberFormat="1" applyFont="1" applyAlignment="1">
      <alignment horizontal="center"/>
    </xf>
    <xf numFmtId="171" fontId="7" fillId="0" borderId="0" xfId="0" applyNumberFormat="1" applyFont="1" applyAlignment="1">
      <alignment vertical="center"/>
    </xf>
    <xf numFmtId="171" fontId="2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178" fontId="7" fillId="0" borderId="0" xfId="0" applyNumberFormat="1" applyFont="1" applyAlignment="1">
      <alignment horizontal="center"/>
    </xf>
    <xf numFmtId="168" fontId="2" fillId="0" borderId="5" xfId="4" applyNumberFormat="1" applyFont="1" applyBorder="1" applyAlignment="1">
      <alignment horizontal="right" vertical="center"/>
    </xf>
    <xf numFmtId="0" fontId="2" fillId="0" borderId="5" xfId="4" applyFont="1" applyBorder="1" applyAlignment="1">
      <alignment horizontal="right" vertical="center"/>
    </xf>
    <xf numFmtId="0" fontId="3" fillId="4" borderId="22" xfId="4" applyFont="1" applyFill="1" applyBorder="1" applyAlignment="1">
      <alignment horizontal="center" vertical="center"/>
    </xf>
    <xf numFmtId="0" fontId="3" fillId="4" borderId="5" xfId="4" applyFont="1" applyFill="1" applyBorder="1" applyAlignment="1">
      <alignment horizontal="center" vertical="center"/>
    </xf>
    <xf numFmtId="0" fontId="3" fillId="5" borderId="22" xfId="4" applyFont="1" applyFill="1" applyBorder="1" applyAlignment="1">
      <alignment horizontal="center" vertical="center"/>
    </xf>
    <xf numFmtId="0" fontId="3" fillId="5" borderId="5" xfId="4" applyFont="1" applyFill="1" applyBorder="1" applyAlignment="1">
      <alignment horizontal="center" vertical="center"/>
    </xf>
    <xf numFmtId="0" fontId="3" fillId="2" borderId="49" xfId="4" applyFont="1" applyFill="1" applyBorder="1" applyAlignment="1">
      <alignment horizontal="center" vertical="center" wrapText="1"/>
    </xf>
    <xf numFmtId="0" fontId="3" fillId="2" borderId="24" xfId="4" applyFont="1" applyFill="1" applyBorder="1" applyAlignment="1">
      <alignment horizontal="center" vertical="center" wrapText="1"/>
    </xf>
    <xf numFmtId="0" fontId="3" fillId="2" borderId="23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3" fillId="2" borderId="24" xfId="4" applyFont="1" applyFill="1" applyBorder="1" applyAlignment="1">
      <alignment horizontal="center" vertical="center"/>
    </xf>
    <xf numFmtId="0" fontId="3" fillId="5" borderId="6" xfId="4" applyFont="1" applyFill="1" applyBorder="1" applyAlignment="1">
      <alignment horizontal="center" vertical="center"/>
    </xf>
    <xf numFmtId="0" fontId="3" fillId="5" borderId="29" xfId="4" applyFont="1" applyFill="1" applyBorder="1" applyAlignment="1">
      <alignment horizontal="center" vertical="center"/>
    </xf>
    <xf numFmtId="0" fontId="3" fillId="4" borderId="6" xfId="4" applyFont="1" applyFill="1" applyBorder="1" applyAlignment="1">
      <alignment horizontal="center" vertical="center"/>
    </xf>
    <xf numFmtId="0" fontId="3" fillId="4" borderId="29" xfId="4" applyFont="1" applyFill="1" applyBorder="1" applyAlignment="1">
      <alignment horizontal="center" vertical="center"/>
    </xf>
    <xf numFmtId="0" fontId="3" fillId="2" borderId="22" xfId="4" applyFont="1" applyFill="1" applyBorder="1" applyAlignment="1">
      <alignment horizontal="center" vertical="center"/>
    </xf>
    <xf numFmtId="4" fontId="3" fillId="2" borderId="5" xfId="4" applyNumberFormat="1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 wrapText="1"/>
    </xf>
    <xf numFmtId="0" fontId="2" fillId="0" borderId="0" xfId="4" applyFont="1" applyAlignment="1">
      <alignment horizontal="left" vertical="center"/>
    </xf>
    <xf numFmtId="0" fontId="3" fillId="2" borderId="47" xfId="4" applyFont="1" applyFill="1" applyBorder="1" applyAlignment="1">
      <alignment horizontal="center" vertical="center"/>
    </xf>
    <xf numFmtId="0" fontId="3" fillId="2" borderId="48" xfId="4" applyFont="1" applyFill="1" applyBorder="1" applyAlignment="1">
      <alignment horizontal="center" vertical="center"/>
    </xf>
    <xf numFmtId="4" fontId="3" fillId="2" borderId="48" xfId="4" applyNumberFormat="1" applyFont="1" applyFill="1" applyBorder="1" applyAlignment="1">
      <alignment horizontal="center" vertical="center" wrapText="1"/>
    </xf>
    <xf numFmtId="0" fontId="3" fillId="2" borderId="48" xfId="4" applyFont="1" applyFill="1" applyBorder="1" applyAlignment="1">
      <alignment horizontal="center" vertical="center" wrapText="1"/>
    </xf>
    <xf numFmtId="0" fontId="3" fillId="2" borderId="31" xfId="4" applyFont="1" applyFill="1" applyBorder="1" applyAlignment="1">
      <alignment horizontal="center" vertical="center" wrapText="1"/>
    </xf>
    <xf numFmtId="0" fontId="3" fillId="2" borderId="31" xfId="4" applyFont="1" applyFill="1" applyBorder="1" applyAlignment="1">
      <alignment horizontal="center" vertical="center"/>
    </xf>
    <xf numFmtId="0" fontId="3" fillId="2" borderId="35" xfId="4" applyFont="1" applyFill="1" applyBorder="1" applyAlignment="1">
      <alignment horizontal="center" vertical="center"/>
    </xf>
    <xf numFmtId="0" fontId="3" fillId="0" borderId="36" xfId="4" applyFont="1" applyBorder="1" applyAlignment="1">
      <alignment horizontal="center" vertical="center" wrapText="1"/>
    </xf>
    <xf numFmtId="0" fontId="3" fillId="0" borderId="37" xfId="4" applyFont="1" applyBorder="1" applyAlignment="1">
      <alignment horizontal="center" vertical="center"/>
    </xf>
    <xf numFmtId="0" fontId="3" fillId="0" borderId="38" xfId="4" applyFont="1" applyBorder="1" applyAlignment="1">
      <alignment horizontal="center" vertical="center"/>
    </xf>
    <xf numFmtId="0" fontId="3" fillId="0" borderId="41" xfId="4" applyFont="1" applyBorder="1" applyAlignment="1">
      <alignment vertical="center"/>
    </xf>
    <xf numFmtId="0" fontId="3" fillId="0" borderId="42" xfId="4" applyFont="1" applyBorder="1" applyAlignment="1">
      <alignment vertical="center"/>
    </xf>
    <xf numFmtId="0" fontId="3" fillId="0" borderId="45" xfId="4" applyFont="1" applyBorder="1" applyAlignment="1">
      <alignment horizontal="center" vertical="center"/>
    </xf>
    <xf numFmtId="0" fontId="3" fillId="0" borderId="46" xfId="4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3" fillId="0" borderId="37" xfId="4" applyFont="1" applyBorder="1" applyAlignment="1">
      <alignment horizontal="center" vertical="center" wrapText="1"/>
    </xf>
    <xf numFmtId="0" fontId="3" fillId="0" borderId="38" xfId="4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171" fontId="8" fillId="3" borderId="0" xfId="0" applyNumberFormat="1" applyFont="1" applyFill="1" applyAlignment="1">
      <alignment horizontal="center"/>
    </xf>
    <xf numFmtId="0" fontId="10" fillId="4" borderId="12" xfId="4" applyFont="1" applyFill="1" applyBorder="1" applyAlignment="1">
      <alignment horizontal="left" wrapText="1"/>
    </xf>
    <xf numFmtId="0" fontId="10" fillId="4" borderId="13" xfId="4" applyFont="1" applyFill="1" applyBorder="1" applyAlignment="1">
      <alignment horizontal="left" wrapText="1"/>
    </xf>
    <xf numFmtId="0" fontId="10" fillId="4" borderId="12" xfId="4" applyFont="1" applyFill="1" applyBorder="1" applyAlignment="1">
      <alignment horizontal="center"/>
    </xf>
    <xf numFmtId="0" fontId="10" fillId="4" borderId="13" xfId="4" applyFont="1" applyFill="1" applyBorder="1" applyAlignment="1">
      <alignment horizontal="center"/>
    </xf>
    <xf numFmtId="0" fontId="10" fillId="4" borderId="14" xfId="4" applyFont="1" applyFill="1" applyBorder="1" applyAlignment="1">
      <alignment horizontal="center"/>
    </xf>
    <xf numFmtId="10" fontId="10" fillId="0" borderId="0" xfId="4" applyNumberFormat="1" applyFont="1" applyAlignment="1">
      <alignment horizontal="center"/>
    </xf>
    <xf numFmtId="0" fontId="10" fillId="0" borderId="9" xfId="4" applyFont="1" applyBorder="1" applyAlignment="1">
      <alignment horizontal="left" wrapText="1"/>
    </xf>
    <xf numFmtId="0" fontId="10" fillId="0" borderId="31" xfId="4" applyFont="1" applyBorder="1" applyAlignment="1">
      <alignment horizontal="left" wrapText="1"/>
    </xf>
    <xf numFmtId="0" fontId="10" fillId="0" borderId="35" xfId="4" applyFont="1" applyBorder="1" applyAlignment="1">
      <alignment horizontal="left" wrapText="1"/>
    </xf>
    <xf numFmtId="0" fontId="9" fillId="0" borderId="39" xfId="4" applyFont="1" applyBorder="1" applyAlignment="1">
      <alignment horizontal="left"/>
    </xf>
    <xf numFmtId="0" fontId="9" fillId="0" borderId="40" xfId="4" applyFont="1" applyBorder="1" applyAlignment="1">
      <alignment horizontal="left"/>
    </xf>
    <xf numFmtId="0" fontId="10" fillId="0" borderId="39" xfId="4" applyFont="1" applyBorder="1" applyAlignment="1">
      <alignment horizontal="left"/>
    </xf>
    <xf numFmtId="0" fontId="10" fillId="0" borderId="40" xfId="4" applyFont="1" applyBorder="1" applyAlignment="1">
      <alignment horizontal="left"/>
    </xf>
    <xf numFmtId="170" fontId="21" fillId="0" borderId="26" xfId="0" applyNumberFormat="1" applyFont="1" applyBorder="1" applyAlignment="1">
      <alignment horizontal="center" vertical="center"/>
    </xf>
    <xf numFmtId="170" fontId="21" fillId="0" borderId="24" xfId="0" applyNumberFormat="1" applyFont="1" applyBorder="1" applyAlignment="1">
      <alignment horizontal="center" vertical="center"/>
    </xf>
    <xf numFmtId="0" fontId="20" fillId="0" borderId="22" xfId="0" applyFont="1" applyBorder="1" applyAlignment="1">
      <alignment vertical="center" wrapText="1"/>
    </xf>
    <xf numFmtId="10" fontId="2" fillId="0" borderId="8" xfId="6" applyNumberFormat="1" applyFont="1" applyBorder="1" applyAlignment="1">
      <alignment horizontal="center" vertical="center" wrapText="1"/>
    </xf>
    <xf numFmtId="10" fontId="2" fillId="0" borderId="5" xfId="6" applyNumberFormat="1" applyFont="1" applyBorder="1" applyAlignment="1">
      <alignment horizontal="center" vertical="center" wrapText="1"/>
    </xf>
    <xf numFmtId="170" fontId="2" fillId="0" borderId="8" xfId="6" applyNumberFormat="1" applyFont="1" applyFill="1" applyBorder="1" applyAlignment="1">
      <alignment horizontal="center" vertical="center" wrapText="1"/>
    </xf>
    <xf numFmtId="170" fontId="2" fillId="0" borderId="5" xfId="6" applyNumberFormat="1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170" fontId="3" fillId="5" borderId="7" xfId="0" applyNumberFormat="1" applyFont="1" applyFill="1" applyBorder="1" applyAlignment="1">
      <alignment horizontal="center" vertical="center" wrapText="1"/>
    </xf>
    <xf numFmtId="170" fontId="3" fillId="5" borderId="34" xfId="0" applyNumberFormat="1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170" fontId="2" fillId="0" borderId="8" xfId="6" applyNumberFormat="1" applyFont="1" applyBorder="1" applyAlignment="1">
      <alignment horizontal="center" vertical="center" wrapText="1"/>
    </xf>
    <xf numFmtId="170" fontId="2" fillId="0" borderId="5" xfId="6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7" xfId="0" applyFont="1" applyBorder="1" applyAlignment="1">
      <alignment vertical="center" wrapText="1"/>
    </xf>
    <xf numFmtId="170" fontId="2" fillId="0" borderId="7" xfId="6" applyNumberFormat="1" applyFont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left" vertical="center" wrapText="1"/>
    </xf>
    <xf numFmtId="0" fontId="7" fillId="3" borderId="35" xfId="0" applyFont="1" applyFill="1" applyBorder="1" applyAlignment="1">
      <alignment horizontal="left" vertical="center" wrapText="1"/>
    </xf>
    <xf numFmtId="2" fontId="19" fillId="0" borderId="19" xfId="0" applyNumberFormat="1" applyFont="1" applyBorder="1" applyAlignment="1">
      <alignment horizontal="left" vertical="center"/>
    </xf>
    <xf numFmtId="2" fontId="19" fillId="0" borderId="20" xfId="0" applyNumberFormat="1" applyFont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</cellXfs>
  <cellStyles count="13">
    <cellStyle name="Estilo 1" xfId="1" xr:uid="{00000000-0005-0000-0000-000000000000}"/>
    <cellStyle name="Estilo 2" xfId="2" xr:uid="{00000000-0005-0000-0000-000001000000}"/>
    <cellStyle name="Moeda" xfId="3" builtinId="4"/>
    <cellStyle name="Normal" xfId="0" builtinId="0"/>
    <cellStyle name="Normal 2" xfId="10" xr:uid="{CBFB366B-8CC6-4401-BFDE-96CE6CDFE124}"/>
    <cellStyle name="Normal 2 2" xfId="4" xr:uid="{00000000-0005-0000-0000-000005000000}"/>
    <cellStyle name="Normal 2 2 2" xfId="5" xr:uid="{00000000-0005-0000-0000-000006000000}"/>
    <cellStyle name="Porcentagem" xfId="6" builtinId="5"/>
    <cellStyle name="Porcentagem 2" xfId="7" xr:uid="{00000000-0005-0000-0000-000008000000}"/>
    <cellStyle name="Porcentagem 3" xfId="11" xr:uid="{90FC0209-0F11-4C77-A9C0-2A16FE980334}"/>
    <cellStyle name="Vírgula" xfId="12" builtinId="3"/>
    <cellStyle name="Vírgula 2 2" xfId="8" xr:uid="{00000000-0005-0000-0000-000009000000}"/>
    <cellStyle name="Vírgula 2 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154781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6A8368D1-FB31-4EDB-870E-B57FBBDB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962705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74083</xdr:colOff>
      <xdr:row>0</xdr:row>
      <xdr:rowOff>84667</xdr:rowOff>
    </xdr:from>
    <xdr:to>
      <xdr:col>2</xdr:col>
      <xdr:colOff>94683</xdr:colOff>
      <xdr:row>3</xdr:row>
      <xdr:rowOff>63101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8397CDED-2701-4774-981D-CC6BA7E4F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" y="84667"/>
          <a:ext cx="1491683" cy="719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1979841</xdr:colOff>
      <xdr:row>0</xdr:row>
      <xdr:rowOff>167822</xdr:rowOff>
    </xdr:from>
    <xdr:to>
      <xdr:col>0</xdr:col>
      <xdr:colOff>3370037</xdr:colOff>
      <xdr:row>1</xdr:row>
      <xdr:rowOff>799120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88E53C7B-79EB-4999-B0DF-EFE12AD9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841" y="167822"/>
          <a:ext cx="1390196" cy="869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CAEA03AD-D30C-47CA-A67A-D2EFC3B3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A7C2F32D-969F-4783-98C6-502CD891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CFAECB89-D2B9-487B-B67B-184B5F82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69180C57-0A94-40BF-8414-E5E8FAE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7209342A-A1F9-44EC-8FCE-82CE7B83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463414A7-FB72-4779-AD68-B068B995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F7F1351C-9947-4A17-A7D8-911D0609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73139</xdr:colOff>
      <xdr:row>0</xdr:row>
      <xdr:rowOff>86745</xdr:rowOff>
    </xdr:from>
    <xdr:to>
      <xdr:col>1</xdr:col>
      <xdr:colOff>589082</xdr:colOff>
      <xdr:row>0</xdr:row>
      <xdr:rowOff>762000</xdr:rowOff>
    </xdr:to>
    <xdr:pic>
      <xdr:nvPicPr>
        <xdr:cNvPr id="2" name="Imagem 1047">
          <a:extLst>
            <a:ext uri="{FF2B5EF4-FFF2-40B4-BE49-F238E27FC236}">
              <a16:creationId xmlns:a16="http://schemas.microsoft.com/office/drawing/2014/main" id="{6FEF4445-3013-4284-8960-B30E08AF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9" y="86745"/>
          <a:ext cx="1401768" cy="67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E1C4-2888-4C04-B263-7530388C1347}">
  <sheetPr>
    <pageSetUpPr fitToPage="1"/>
  </sheetPr>
  <dimension ref="A1:L37"/>
  <sheetViews>
    <sheetView showGridLines="0" tabSelected="1" zoomScale="80" zoomScaleNormal="80" zoomScaleSheetLayoutView="70" workbookViewId="0">
      <selection activeCell="B1" sqref="B1:J1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customWidth="1"/>
    <col min="14" max="14" width="20.140625" style="94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2" ht="65.099999999999994" customHeight="1" thickBot="1" x14ac:dyDescent="0.3">
      <c r="A1" s="7"/>
      <c r="B1" s="214" t="s">
        <v>186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2" ht="50.1" customHeight="1" thickTop="1" thickBot="1" x14ac:dyDescent="0.3">
      <c r="A2" s="217"/>
      <c r="B2" s="218"/>
      <c r="C2" s="218"/>
      <c r="D2" s="218"/>
      <c r="E2" s="218"/>
      <c r="F2" s="218"/>
      <c r="G2" s="218"/>
      <c r="H2" s="218"/>
      <c r="I2" s="218"/>
      <c r="J2" s="219"/>
      <c r="K2" s="2"/>
      <c r="L2" s="134"/>
    </row>
    <row r="3" spans="1:12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2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2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2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2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2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2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2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2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2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'R1 '!F12+'R2'!F12+'R3'!F12+'R4'!F12+'R5'!F12+'R6'!F12+'R7'!F12+'R8'!F12</f>
        <v>4224</v>
      </c>
      <c r="G12" s="108">
        <v>73.31</v>
      </c>
      <c r="H12" s="73">
        <f>F12*G12</f>
        <v>309661.44</v>
      </c>
      <c r="I12" s="108">
        <f t="shared" ref="I12:I16" si="0">$J$4</f>
        <v>2.4332631780821918</v>
      </c>
      <c r="J12" s="107">
        <f t="shared" ref="J12:J16" si="1">H12*I12</f>
        <v>753487.77962390799</v>
      </c>
      <c r="K12" s="77">
        <v>0.5</v>
      </c>
      <c r="L12" s="141">
        <v>17866.689999999999</v>
      </c>
    </row>
    <row r="13" spans="1:12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'R1 '!F13+'R2'!F13+'R3'!F13+'R4'!F13+'R5'!F13+'R6'!F13+'R7'!F13+'R8'!F13</f>
        <v>4224</v>
      </c>
      <c r="G13" s="108">
        <v>73.31</v>
      </c>
      <c r="H13" s="73">
        <f t="shared" ref="H13:H16" si="2">F13*G13</f>
        <v>309661.44</v>
      </c>
      <c r="I13" s="108">
        <f t="shared" si="0"/>
        <v>2.4332631780821918</v>
      </c>
      <c r="J13" s="107">
        <f t="shared" si="1"/>
        <v>753487.77962390799</v>
      </c>
      <c r="K13" s="77">
        <v>3</v>
      </c>
      <c r="L13" s="141">
        <v>15564.54</v>
      </c>
    </row>
    <row r="14" spans="1:12" ht="60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'R1 '!F14+'R2'!F14+'R3'!F14+'R4'!F14+'R5'!F14+'R6'!F14+'R7'!F14+'R8'!F14</f>
        <v>25344</v>
      </c>
      <c r="G14" s="108">
        <v>37.26</v>
      </c>
      <c r="H14" s="73">
        <f t="shared" si="2"/>
        <v>944317.43999999994</v>
      </c>
      <c r="I14" s="108">
        <f t="shared" si="0"/>
        <v>2.4332631780821918</v>
      </c>
      <c r="J14" s="107">
        <f t="shared" si="1"/>
        <v>2297772.8551728395</v>
      </c>
      <c r="K14" s="77">
        <v>3</v>
      </c>
      <c r="L14" s="141">
        <v>12379.96</v>
      </c>
    </row>
    <row r="15" spans="1:12" ht="60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'R1 '!F15+'R2'!F15+'R3'!F15+'R4'!F15+'R5'!F15+'R6'!F15+'R7'!F15+'R8'!F15</f>
        <v>25344</v>
      </c>
      <c r="G15" s="108">
        <v>44.9</v>
      </c>
      <c r="H15" s="73">
        <f t="shared" si="2"/>
        <v>1137945.5999999999</v>
      </c>
      <c r="I15" s="108">
        <f t="shared" si="0"/>
        <v>2.4332631780821918</v>
      </c>
      <c r="J15" s="107">
        <f t="shared" si="1"/>
        <v>2768921.1271406463</v>
      </c>
      <c r="K15" s="77">
        <v>3</v>
      </c>
      <c r="L15" s="141">
        <v>12379.96</v>
      </c>
    </row>
    <row r="16" spans="1:12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'R1 '!F16+'R2'!F16+'R3'!F16+'R4'!F16+'R5'!F16+'R6'!F16+'R7'!F16+'R8'!F16</f>
        <v>8448</v>
      </c>
      <c r="G16" s="108">
        <v>38.39</v>
      </c>
      <c r="H16" s="73">
        <f t="shared" si="2"/>
        <v>324318.72000000003</v>
      </c>
      <c r="I16" s="108">
        <f t="shared" si="0"/>
        <v>2.4332631780821918</v>
      </c>
      <c r="J16" s="107">
        <f t="shared" si="1"/>
        <v>789152.79933874856</v>
      </c>
      <c r="K16" s="77">
        <v>3</v>
      </c>
      <c r="L16" s="141">
        <v>12379.96</v>
      </c>
    </row>
    <row r="17" spans="1:12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</row>
    <row r="18" spans="1:12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'R1 '!F18+'R2'!F18+'R3'!F18+'R4'!F18+'R5'!F18+'R6'!F18+'R7'!F18+'R8'!F18</f>
        <v>21120</v>
      </c>
      <c r="G18" s="108">
        <v>17.72</v>
      </c>
      <c r="H18" s="73">
        <f t="shared" ref="H18" si="3">F18*G18</f>
        <v>374246.39999999997</v>
      </c>
      <c r="I18" s="108">
        <f t="shared" ref="I18" si="4">$J$4</f>
        <v>2.4332631780821918</v>
      </c>
      <c r="J18" s="107">
        <f t="shared" ref="J18" si="5">H18*I18</f>
        <v>910639.98464981909</v>
      </c>
      <c r="K18" s="77">
        <v>3</v>
      </c>
      <c r="L18" s="140">
        <v>35.69</v>
      </c>
    </row>
    <row r="19" spans="1:12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8273462.3255498698</v>
      </c>
      <c r="K19" s="85"/>
      <c r="L19" s="134"/>
    </row>
    <row r="20" spans="1:12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</row>
    <row r="21" spans="1:12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</row>
    <row r="22" spans="1:12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</row>
    <row r="23" spans="1:12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</row>
    <row r="24" spans="1:12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160</v>
      </c>
      <c r="E24" s="5" t="s">
        <v>25</v>
      </c>
      <c r="F24" s="111">
        <f>'R1 '!F24+'R2'!F24+'R3'!F24+'R4'!F24+'R5'!F24+'R6'!F24+'R7'!F24+'R8'!F24</f>
        <v>36</v>
      </c>
      <c r="G24" s="190">
        <v>4090</v>
      </c>
      <c r="H24" s="191"/>
      <c r="I24" s="106">
        <f>$J$6</f>
        <v>1.2328767123287672</v>
      </c>
      <c r="J24" s="107">
        <f>F24*G24*I24</f>
        <v>181528.76712328769</v>
      </c>
      <c r="K24" s="77">
        <v>0.5</v>
      </c>
      <c r="L24" s="140">
        <v>6804</v>
      </c>
    </row>
    <row r="25" spans="1:12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181528.76712328769</v>
      </c>
      <c r="K25" s="85"/>
      <c r="L25" s="134"/>
    </row>
    <row r="26" spans="1:12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</row>
    <row r="27" spans="1:12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'R1 '!F27+'R2'!F27+'R3'!F27+'R4'!F27+'R5'!F27+'R6'!F27+'R7'!F27+'R8'!F27</f>
        <v>72</v>
      </c>
      <c r="G27" s="190">
        <v>222.43</v>
      </c>
      <c r="H27" s="191"/>
      <c r="I27" s="108">
        <f>$J$6</f>
        <v>1.2328767123287672</v>
      </c>
      <c r="J27" s="109">
        <f>F27*G27*I27</f>
        <v>19744.471232876713</v>
      </c>
      <c r="K27" s="86">
        <f>1*10*3</f>
        <v>30</v>
      </c>
      <c r="L27" s="140">
        <v>222.43</v>
      </c>
    </row>
    <row r="28" spans="1:12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'R1 '!F28+'R2'!F28+'R3'!F28+'R4'!F28+'R5'!F28+'R6'!F28+'R7'!F28+'R8'!F28</f>
        <v>72</v>
      </c>
      <c r="G28" s="190">
        <v>161.29</v>
      </c>
      <c r="H28" s="191"/>
      <c r="I28" s="108">
        <f>$J$6</f>
        <v>1.2328767123287672</v>
      </c>
      <c r="J28" s="109">
        <f>F28*G28*I28</f>
        <v>14317.249315068493</v>
      </c>
      <c r="K28" s="86">
        <f>5*1*3</f>
        <v>15</v>
      </c>
      <c r="L28" s="140">
        <v>161.29</v>
      </c>
    </row>
    <row r="29" spans="1:12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34061.72054794521</v>
      </c>
      <c r="K29" s="87"/>
      <c r="L29" s="134"/>
    </row>
    <row r="30" spans="1:12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215590.4876712329</v>
      </c>
      <c r="K30" s="88"/>
      <c r="L30" s="134"/>
    </row>
    <row r="31" spans="1:12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8489052.8132211026</v>
      </c>
      <c r="K31" s="89"/>
      <c r="L31" s="134"/>
    </row>
    <row r="32" spans="1:12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1" x14ac:dyDescent="0.25">
      <c r="A33" s="95"/>
    </row>
    <row r="35" spans="1:11" x14ac:dyDescent="0.25">
      <c r="J35" s="113"/>
      <c r="K35" s="96"/>
    </row>
    <row r="37" spans="1:11" x14ac:dyDescent="0.25">
      <c r="H37" s="113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3:N76"/>
  <sheetViews>
    <sheetView showGridLines="0" view="pageBreakPreview" topLeftCell="A68" zoomScaleSheetLayoutView="100" workbookViewId="0">
      <selection activeCell="B3" sqref="B3:K3"/>
    </sheetView>
  </sheetViews>
  <sheetFormatPr defaultColWidth="10.5703125" defaultRowHeight="12.75" x14ac:dyDescent="0.2"/>
  <cols>
    <col min="1" max="1" width="2.5703125" style="12" customWidth="1"/>
    <col min="2" max="2" width="19.5703125" style="12" customWidth="1"/>
    <col min="3" max="3" width="47" style="12" bestFit="1" customWidth="1"/>
    <col min="4" max="4" width="11.28515625" style="12" customWidth="1"/>
    <col min="5" max="5" width="2.28515625" style="12" customWidth="1"/>
    <col min="6" max="6" width="9.140625" style="12" customWidth="1"/>
    <col min="7" max="7" width="42.7109375" style="12" customWidth="1"/>
    <col min="8" max="8" width="11.28515625" style="12" customWidth="1"/>
    <col min="9" max="9" width="1.85546875" style="12" customWidth="1"/>
    <col min="10" max="10" width="23.140625" style="12" customWidth="1"/>
    <col min="11" max="11" width="16.5703125" style="12" customWidth="1"/>
    <col min="12" max="12" width="13.5703125" style="12" customWidth="1"/>
    <col min="13" max="248" width="9.140625" style="12" customWidth="1"/>
    <col min="249" max="249" width="42.7109375" style="12" customWidth="1"/>
    <col min="250" max="250" width="11.28515625" style="12" customWidth="1"/>
    <col min="251" max="251" width="1.42578125" style="12" customWidth="1"/>
    <col min="252" max="255" width="9.140625" style="12" customWidth="1"/>
    <col min="256" max="256" width="10.5703125" style="12" bestFit="1"/>
    <col min="257" max="16384" width="10.5703125" style="12"/>
  </cols>
  <sheetData>
    <row r="3" spans="2:14" customFormat="1" ht="33" customHeight="1" x14ac:dyDescent="0.25">
      <c r="B3" s="228"/>
      <c r="C3" s="228"/>
      <c r="D3" s="228"/>
      <c r="E3" s="228"/>
      <c r="F3" s="228"/>
      <c r="G3" s="228"/>
      <c r="H3" s="228"/>
      <c r="I3" s="228"/>
      <c r="J3" s="228"/>
      <c r="K3" s="228"/>
    </row>
    <row r="4" spans="2:14" customFormat="1" ht="15" customHeight="1" x14ac:dyDescent="0.25">
      <c r="B4" s="63"/>
      <c r="C4" s="63"/>
      <c r="D4" s="63"/>
      <c r="E4" s="63"/>
      <c r="F4" s="63"/>
      <c r="G4" s="63"/>
      <c r="H4" s="63"/>
      <c r="I4" s="63"/>
      <c r="J4" s="230" t="s">
        <v>133</v>
      </c>
      <c r="K4" s="230"/>
      <c r="N4" s="59"/>
    </row>
    <row r="5" spans="2:14" customFormat="1" ht="57.75" customHeight="1" x14ac:dyDescent="0.25">
      <c r="B5" s="69" t="s">
        <v>131</v>
      </c>
      <c r="C5" s="229" t="s">
        <v>186</v>
      </c>
      <c r="D5" s="229"/>
      <c r="E5" s="229"/>
      <c r="F5" s="229"/>
      <c r="G5" s="229"/>
      <c r="H5" s="229"/>
      <c r="I5" s="67"/>
      <c r="J5" s="64" t="s">
        <v>34</v>
      </c>
      <c r="K5" s="64">
        <f>'FATOR K TRDE'!K33</f>
        <v>2.4332631780821918</v>
      </c>
      <c r="N5" s="59"/>
    </row>
    <row r="6" spans="2:14" customFormat="1" ht="35.25" customHeight="1" x14ac:dyDescent="0.25">
      <c r="B6" s="69" t="s">
        <v>33</v>
      </c>
      <c r="C6" s="229" t="str">
        <f>QUANTITATIVO!A4</f>
        <v xml:space="preserve">Planilhas de Referência:  Junho/2025, Embasa </v>
      </c>
      <c r="D6" s="229"/>
      <c r="E6" s="229"/>
      <c r="F6" s="229"/>
      <c r="G6" s="229"/>
      <c r="H6" s="229"/>
      <c r="I6" s="65"/>
      <c r="J6" s="64" t="s">
        <v>35</v>
      </c>
      <c r="K6" s="64">
        <f>'FATOR K TRDE'!K34</f>
        <v>1.6273972602739726</v>
      </c>
    </row>
    <row r="7" spans="2:14" customFormat="1" ht="15" x14ac:dyDescent="0.25">
      <c r="B7" s="69" t="s">
        <v>132</v>
      </c>
      <c r="C7" s="131" t="s">
        <v>173</v>
      </c>
      <c r="D7" s="70"/>
      <c r="E7" s="68"/>
      <c r="F7" s="66"/>
      <c r="G7" s="70"/>
      <c r="H7" s="71"/>
      <c r="I7" s="72"/>
      <c r="J7" s="64" t="s">
        <v>36</v>
      </c>
      <c r="K7" s="64">
        <f>'FATOR K TRDE'!K40</f>
        <v>1.2328767123287672</v>
      </c>
    </row>
    <row r="8" spans="2:14" ht="22.5" customHeight="1" thickBot="1" x14ac:dyDescent="0.25"/>
    <row r="9" spans="2:14" ht="13.5" thickBot="1" x14ac:dyDescent="0.25">
      <c r="B9" s="233" t="s">
        <v>41</v>
      </c>
      <c r="C9" s="234"/>
      <c r="D9" s="235"/>
      <c r="F9" s="233" t="s">
        <v>42</v>
      </c>
      <c r="G9" s="234"/>
      <c r="H9" s="235"/>
      <c r="J9" s="233" t="s">
        <v>43</v>
      </c>
      <c r="K9" s="234"/>
      <c r="L9" s="235"/>
    </row>
    <row r="10" spans="2:14" ht="13.5" customHeight="1" thickBot="1" x14ac:dyDescent="0.25">
      <c r="B10" s="13"/>
      <c r="D10" s="14"/>
      <c r="F10" s="13"/>
      <c r="H10" s="14"/>
      <c r="J10" s="13"/>
      <c r="L10" s="14"/>
    </row>
    <row r="11" spans="2:14" ht="13.5" thickBot="1" x14ac:dyDescent="0.25">
      <c r="B11" s="15" t="s">
        <v>44</v>
      </c>
      <c r="C11" s="16"/>
      <c r="D11" s="17"/>
      <c r="F11" s="15" t="s">
        <v>44</v>
      </c>
      <c r="G11" s="16"/>
      <c r="H11" s="17"/>
      <c r="J11" s="231" t="s">
        <v>45</v>
      </c>
      <c r="K11" s="232"/>
      <c r="L11" s="50">
        <v>0.12</v>
      </c>
    </row>
    <row r="12" spans="2:14" ht="13.5" thickBot="1" x14ac:dyDescent="0.25">
      <c r="B12" s="15"/>
      <c r="C12" s="16"/>
      <c r="D12" s="17"/>
      <c r="F12" s="15"/>
      <c r="G12" s="16"/>
      <c r="H12" s="17"/>
    </row>
    <row r="13" spans="2:14" ht="13.5" thickBot="1" x14ac:dyDescent="0.25">
      <c r="B13" s="15" t="s">
        <v>46</v>
      </c>
      <c r="C13" s="16"/>
      <c r="D13" s="17"/>
      <c r="F13" s="15" t="s">
        <v>46</v>
      </c>
      <c r="G13" s="16"/>
      <c r="H13" s="17"/>
      <c r="J13" s="233" t="s">
        <v>47</v>
      </c>
      <c r="K13" s="234"/>
      <c r="L13" s="235"/>
    </row>
    <row r="14" spans="2:14" ht="13.5" thickBot="1" x14ac:dyDescent="0.25">
      <c r="B14" s="13"/>
      <c r="D14" s="14"/>
      <c r="F14" s="13"/>
      <c r="H14" s="14"/>
      <c r="J14" s="13"/>
      <c r="L14" s="14"/>
    </row>
    <row r="15" spans="2:14" ht="13.5" thickBot="1" x14ac:dyDescent="0.25">
      <c r="B15" s="18" t="s">
        <v>30</v>
      </c>
      <c r="C15" s="19" t="s">
        <v>31</v>
      </c>
      <c r="D15" s="20" t="s">
        <v>48</v>
      </c>
      <c r="F15" s="18" t="s">
        <v>30</v>
      </c>
      <c r="G15" s="19" t="s">
        <v>31</v>
      </c>
      <c r="H15" s="20" t="s">
        <v>48</v>
      </c>
      <c r="J15" s="231" t="s">
        <v>49</v>
      </c>
      <c r="K15" s="232"/>
      <c r="L15" s="50">
        <v>0.08</v>
      </c>
    </row>
    <row r="16" spans="2:14" ht="13.5" thickBot="1" x14ac:dyDescent="0.25">
      <c r="B16" s="18"/>
      <c r="C16" s="19"/>
      <c r="D16" s="21"/>
      <c r="F16" s="18"/>
      <c r="G16" s="19"/>
      <c r="H16" s="21"/>
    </row>
    <row r="17" spans="2:12" ht="13.5" thickBot="1" x14ac:dyDescent="0.25">
      <c r="B17" s="22" t="s">
        <v>50</v>
      </c>
      <c r="C17" s="23" t="s">
        <v>51</v>
      </c>
      <c r="D17" s="60">
        <v>0.2</v>
      </c>
      <c r="E17" s="25"/>
      <c r="F17" s="22" t="s">
        <v>50</v>
      </c>
      <c r="G17" s="23" t="s">
        <v>51</v>
      </c>
      <c r="H17" s="24">
        <v>0.2</v>
      </c>
      <c r="J17" s="233" t="s">
        <v>52</v>
      </c>
      <c r="K17" s="234"/>
      <c r="L17" s="235"/>
    </row>
    <row r="18" spans="2:12" x14ac:dyDescent="0.2">
      <c r="B18" s="22" t="s">
        <v>38</v>
      </c>
      <c r="C18" s="23" t="s">
        <v>53</v>
      </c>
      <c r="D18" s="61">
        <v>1.4999999999999999E-2</v>
      </c>
      <c r="E18" s="25"/>
      <c r="F18" s="22" t="s">
        <v>38</v>
      </c>
      <c r="G18" s="23" t="s">
        <v>53</v>
      </c>
      <c r="H18" s="26">
        <v>0</v>
      </c>
      <c r="J18" s="237"/>
      <c r="K18" s="238"/>
      <c r="L18" s="239"/>
    </row>
    <row r="19" spans="2:12" x14ac:dyDescent="0.2">
      <c r="B19" s="22" t="s">
        <v>54</v>
      </c>
      <c r="C19" s="23" t="s">
        <v>55</v>
      </c>
      <c r="D19" s="61">
        <v>0.01</v>
      </c>
      <c r="E19" s="25"/>
      <c r="F19" s="22" t="s">
        <v>54</v>
      </c>
      <c r="G19" s="23" t="s">
        <v>55</v>
      </c>
      <c r="H19" s="26">
        <v>0</v>
      </c>
      <c r="J19" s="27" t="s">
        <v>56</v>
      </c>
      <c r="K19" s="28"/>
      <c r="L19" s="29"/>
    </row>
    <row r="20" spans="2:12" x14ac:dyDescent="0.2">
      <c r="B20" s="22" t="s">
        <v>57</v>
      </c>
      <c r="C20" s="23" t="s">
        <v>58</v>
      </c>
      <c r="D20" s="61">
        <v>2E-3</v>
      </c>
      <c r="F20" s="22" t="s">
        <v>57</v>
      </c>
      <c r="G20" s="23" t="s">
        <v>58</v>
      </c>
      <c r="H20" s="26">
        <v>0</v>
      </c>
      <c r="J20" s="13"/>
      <c r="K20" s="30"/>
      <c r="L20" s="31"/>
    </row>
    <row r="21" spans="2:12" ht="15" customHeight="1" x14ac:dyDescent="0.2">
      <c r="B21" s="22" t="s">
        <v>59</v>
      </c>
      <c r="C21" s="23" t="s">
        <v>60</v>
      </c>
      <c r="D21" s="61">
        <v>6.0000000000000001E-3</v>
      </c>
      <c r="F21" s="22" t="s">
        <v>59</v>
      </c>
      <c r="G21" s="23" t="s">
        <v>60</v>
      </c>
      <c r="H21" s="26">
        <v>0</v>
      </c>
      <c r="J21" s="240" t="s">
        <v>61</v>
      </c>
      <c r="K21" s="241"/>
      <c r="L21" s="26">
        <v>0.05</v>
      </c>
    </row>
    <row r="22" spans="2:12" ht="15" customHeight="1" x14ac:dyDescent="0.2">
      <c r="B22" s="22" t="s">
        <v>62</v>
      </c>
      <c r="C22" s="23" t="s">
        <v>63</v>
      </c>
      <c r="D22" s="61">
        <v>2.5000000000000001E-2</v>
      </c>
      <c r="F22" s="22" t="s">
        <v>62</v>
      </c>
      <c r="G22" s="23" t="s">
        <v>63</v>
      </c>
      <c r="H22" s="26">
        <v>0</v>
      </c>
      <c r="J22" s="240" t="s">
        <v>64</v>
      </c>
      <c r="K22" s="241"/>
      <c r="L22" s="26">
        <f>7.6%*80%</f>
        <v>6.08E-2</v>
      </c>
    </row>
    <row r="23" spans="2:12" ht="15" customHeight="1" x14ac:dyDescent="0.2">
      <c r="B23" s="22" t="s">
        <v>65</v>
      </c>
      <c r="C23" s="23" t="s">
        <v>66</v>
      </c>
      <c r="D23" s="61">
        <v>0.03</v>
      </c>
      <c r="F23" s="22" t="s">
        <v>65</v>
      </c>
      <c r="G23" s="23" t="s">
        <v>66</v>
      </c>
      <c r="H23" s="26">
        <v>0</v>
      </c>
      <c r="J23" s="240" t="s">
        <v>67</v>
      </c>
      <c r="K23" s="241"/>
      <c r="L23" s="26">
        <f>1.65%*80%</f>
        <v>1.3200000000000002E-2</v>
      </c>
    </row>
    <row r="24" spans="2:12" ht="15" customHeight="1" x14ac:dyDescent="0.2">
      <c r="B24" s="22" t="s">
        <v>68</v>
      </c>
      <c r="C24" s="23" t="s">
        <v>69</v>
      </c>
      <c r="D24" s="61">
        <v>0.08</v>
      </c>
      <c r="F24" s="22" t="s">
        <v>68</v>
      </c>
      <c r="G24" s="23" t="s">
        <v>69</v>
      </c>
      <c r="H24" s="26">
        <v>0</v>
      </c>
      <c r="J24" s="242" t="s">
        <v>70</v>
      </c>
      <c r="K24" s="243"/>
      <c r="L24" s="32">
        <f>SUM(L21:L23)</f>
        <v>0.12400000000000001</v>
      </c>
    </row>
    <row r="25" spans="2:12" ht="13.5" thickBot="1" x14ac:dyDescent="0.25">
      <c r="B25" s="33"/>
      <c r="C25" s="34"/>
      <c r="D25" s="35"/>
      <c r="F25" s="33"/>
      <c r="G25" s="34"/>
      <c r="H25" s="35"/>
      <c r="J25" s="13"/>
      <c r="L25" s="14"/>
    </row>
    <row r="26" spans="2:12" ht="13.5" thickBot="1" x14ac:dyDescent="0.25">
      <c r="B26" s="33"/>
      <c r="C26" s="36" t="s">
        <v>71</v>
      </c>
      <c r="D26" s="32">
        <f>SUM(D17:D24)</f>
        <v>0.36800000000000005</v>
      </c>
      <c r="F26" s="33"/>
      <c r="G26" s="36" t="s">
        <v>71</v>
      </c>
      <c r="H26" s="32">
        <f>SUM(H17:H24)</f>
        <v>0.2</v>
      </c>
      <c r="J26" s="231" t="s">
        <v>72</v>
      </c>
      <c r="K26" s="232"/>
      <c r="L26" s="50">
        <f>(1/(1-L24))-1</f>
        <v>0.14155251141552516</v>
      </c>
    </row>
    <row r="27" spans="2:12" ht="13.5" thickBot="1" x14ac:dyDescent="0.25">
      <c r="B27" s="13"/>
      <c r="C27" s="37"/>
      <c r="D27" s="38"/>
      <c r="F27" s="13"/>
      <c r="G27" s="37"/>
      <c r="H27" s="38"/>
    </row>
    <row r="28" spans="2:12" ht="13.5" thickBot="1" x14ac:dyDescent="0.25">
      <c r="B28" s="15" t="s">
        <v>73</v>
      </c>
      <c r="C28" s="39"/>
      <c r="D28" s="40"/>
      <c r="F28" s="15" t="s">
        <v>73</v>
      </c>
      <c r="G28" s="39"/>
      <c r="H28" s="40"/>
      <c r="J28" s="41"/>
    </row>
    <row r="29" spans="2:12" x14ac:dyDescent="0.2">
      <c r="B29" s="27"/>
      <c r="C29" s="42"/>
      <c r="D29" s="43"/>
      <c r="F29" s="27"/>
      <c r="G29" s="42"/>
      <c r="H29" s="43"/>
      <c r="J29" s="44" t="s">
        <v>74</v>
      </c>
      <c r="K29" s="25"/>
    </row>
    <row r="30" spans="2:12" x14ac:dyDescent="0.2">
      <c r="B30" s="18" t="s">
        <v>30</v>
      </c>
      <c r="C30" s="19" t="s">
        <v>31</v>
      </c>
      <c r="D30" s="45" t="s">
        <v>48</v>
      </c>
      <c r="F30" s="18" t="s">
        <v>30</v>
      </c>
      <c r="G30" s="19" t="s">
        <v>31</v>
      </c>
      <c r="H30" s="45" t="s">
        <v>48</v>
      </c>
      <c r="J30" s="25"/>
      <c r="K30" s="25"/>
    </row>
    <row r="31" spans="2:12" x14ac:dyDescent="0.2">
      <c r="B31" s="18"/>
      <c r="C31" s="19"/>
      <c r="D31" s="45"/>
      <c r="F31" s="18"/>
      <c r="G31" s="19"/>
      <c r="H31" s="45"/>
      <c r="J31" s="236" t="s">
        <v>75</v>
      </c>
      <c r="K31" s="236"/>
      <c r="L31" s="236"/>
    </row>
    <row r="32" spans="2:12" ht="13.5" thickBot="1" x14ac:dyDescent="0.25">
      <c r="B32" s="22" t="s">
        <v>76</v>
      </c>
      <c r="C32" s="34" t="s">
        <v>77</v>
      </c>
      <c r="D32" s="61">
        <v>0.1111</v>
      </c>
      <c r="F32" s="22" t="s">
        <v>76</v>
      </c>
      <c r="G32" s="34" t="s">
        <v>77</v>
      </c>
      <c r="H32" s="26">
        <v>0</v>
      </c>
      <c r="J32" s="25"/>
      <c r="K32" s="25"/>
    </row>
    <row r="33" spans="2:12" ht="13.5" thickBot="1" x14ac:dyDescent="0.25">
      <c r="B33" s="22" t="s">
        <v>78</v>
      </c>
      <c r="C33" s="34" t="s">
        <v>79</v>
      </c>
      <c r="D33" s="61">
        <v>1.8E-3</v>
      </c>
      <c r="F33" s="22" t="s">
        <v>78</v>
      </c>
      <c r="G33" s="34" t="s">
        <v>79</v>
      </c>
      <c r="H33" s="26">
        <v>0</v>
      </c>
      <c r="J33" s="51" t="s">
        <v>80</v>
      </c>
      <c r="K33" s="57">
        <f>(1+D76+L11)*(1+L15)*(1+L26)</f>
        <v>2.4332631780821918</v>
      </c>
      <c r="L33" s="56"/>
    </row>
    <row r="34" spans="2:12" ht="13.5" thickBot="1" x14ac:dyDescent="0.25">
      <c r="B34" s="22" t="s">
        <v>81</v>
      </c>
      <c r="C34" s="34" t="s">
        <v>82</v>
      </c>
      <c r="D34" s="62">
        <v>6.3E-3</v>
      </c>
      <c r="F34" s="22" t="s">
        <v>81</v>
      </c>
      <c r="G34" s="34" t="s">
        <v>82</v>
      </c>
      <c r="H34" s="46">
        <v>0</v>
      </c>
      <c r="J34" s="52" t="s">
        <v>83</v>
      </c>
      <c r="K34" s="57">
        <f>(1+H76+L11)*(1+L15)*(1+L26)</f>
        <v>1.6273972602739726</v>
      </c>
      <c r="L34" s="56"/>
    </row>
    <row r="35" spans="2:12" x14ac:dyDescent="0.2">
      <c r="B35" s="22" t="s">
        <v>84</v>
      </c>
      <c r="C35" s="34" t="s">
        <v>85</v>
      </c>
      <c r="D35" s="61">
        <v>8.3299999999999999E-2</v>
      </c>
      <c r="F35" s="22" t="s">
        <v>84</v>
      </c>
      <c r="G35" s="34" t="s">
        <v>85</v>
      </c>
      <c r="H35" s="26">
        <v>0</v>
      </c>
    </row>
    <row r="36" spans="2:12" x14ac:dyDescent="0.2">
      <c r="B36" s="22" t="s">
        <v>86</v>
      </c>
      <c r="C36" s="34" t="s">
        <v>87</v>
      </c>
      <c r="D36" s="61">
        <v>3.4000000000000002E-2</v>
      </c>
      <c r="F36" s="22" t="s">
        <v>86</v>
      </c>
      <c r="G36" s="34" t="s">
        <v>87</v>
      </c>
      <c r="H36" s="26">
        <v>0</v>
      </c>
      <c r="J36" s="44" t="s">
        <v>88</v>
      </c>
    </row>
    <row r="37" spans="2:12" x14ac:dyDescent="0.2">
      <c r="B37" s="22" t="s">
        <v>89</v>
      </c>
      <c r="C37" s="34" t="s">
        <v>124</v>
      </c>
      <c r="D37" s="61">
        <v>4.0000000000000002E-4</v>
      </c>
      <c r="F37" s="22" t="s">
        <v>89</v>
      </c>
      <c r="G37" s="34" t="s">
        <v>90</v>
      </c>
      <c r="H37" s="26">
        <v>0</v>
      </c>
    </row>
    <row r="38" spans="2:12" x14ac:dyDescent="0.2">
      <c r="B38" s="22" t="s">
        <v>91</v>
      </c>
      <c r="C38" s="34" t="s">
        <v>92</v>
      </c>
      <c r="D38" s="61">
        <v>5.4000000000000003E-3</v>
      </c>
      <c r="F38" s="22" t="s">
        <v>91</v>
      </c>
      <c r="G38" s="34" t="s">
        <v>92</v>
      </c>
      <c r="H38" s="26">
        <v>0</v>
      </c>
      <c r="J38" s="236" t="s">
        <v>93</v>
      </c>
      <c r="K38" s="236"/>
      <c r="L38" s="236"/>
    </row>
    <row r="39" spans="2:12" ht="13.5" thickBot="1" x14ac:dyDescent="0.25">
      <c r="B39" s="22" t="s">
        <v>94</v>
      </c>
      <c r="C39" s="34" t="s">
        <v>95</v>
      </c>
      <c r="D39" s="61">
        <v>1.2999999999999999E-3</v>
      </c>
      <c r="F39" s="22" t="s">
        <v>94</v>
      </c>
      <c r="G39" s="34" t="s">
        <v>95</v>
      </c>
      <c r="H39" s="26">
        <v>0</v>
      </c>
    </row>
    <row r="40" spans="2:12" ht="13.5" thickBot="1" x14ac:dyDescent="0.25">
      <c r="B40" s="33"/>
      <c r="C40" s="34"/>
      <c r="D40" s="35"/>
      <c r="E40" s="25"/>
      <c r="F40" s="33"/>
      <c r="G40" s="34"/>
      <c r="H40" s="35"/>
      <c r="J40" s="51" t="s">
        <v>96</v>
      </c>
      <c r="K40" s="57">
        <f>(1+L15)*(1+L26)</f>
        <v>1.2328767123287672</v>
      </c>
      <c r="L40" s="56"/>
    </row>
    <row r="41" spans="2:12" x14ac:dyDescent="0.2">
      <c r="B41" s="33"/>
      <c r="C41" s="36" t="s">
        <v>71</v>
      </c>
      <c r="D41" s="32">
        <f>SUM(D32:D39)</f>
        <v>0.24360000000000001</v>
      </c>
      <c r="F41" s="33"/>
      <c r="G41" s="36" t="s">
        <v>71</v>
      </c>
      <c r="H41" s="32">
        <f>SUM(H32:H39)</f>
        <v>0</v>
      </c>
    </row>
    <row r="42" spans="2:12" ht="13.5" thickBot="1" x14ac:dyDescent="0.25">
      <c r="B42" s="13"/>
      <c r="D42" s="43"/>
      <c r="F42" s="13"/>
      <c r="H42" s="43"/>
    </row>
    <row r="43" spans="2:12" ht="13.5" thickBot="1" x14ac:dyDescent="0.25">
      <c r="B43" s="15" t="s">
        <v>97</v>
      </c>
      <c r="C43" s="16"/>
      <c r="D43" s="40"/>
      <c r="F43" s="15" t="s">
        <v>97</v>
      </c>
      <c r="G43" s="16"/>
      <c r="H43" s="40"/>
    </row>
    <row r="44" spans="2:12" x14ac:dyDescent="0.2">
      <c r="B44" s="13"/>
      <c r="D44" s="43"/>
      <c r="F44" s="13"/>
      <c r="H44" s="43"/>
    </row>
    <row r="45" spans="2:12" x14ac:dyDescent="0.2">
      <c r="B45" s="18" t="s">
        <v>30</v>
      </c>
      <c r="C45" s="19" t="s">
        <v>31</v>
      </c>
      <c r="D45" s="45" t="s">
        <v>48</v>
      </c>
      <c r="F45" s="18" t="s">
        <v>30</v>
      </c>
      <c r="G45" s="19" t="s">
        <v>31</v>
      </c>
      <c r="H45" s="45" t="s">
        <v>48</v>
      </c>
    </row>
    <row r="46" spans="2:12" x14ac:dyDescent="0.2">
      <c r="B46" s="33"/>
      <c r="C46" s="34"/>
      <c r="D46" s="35"/>
      <c r="F46" s="33"/>
      <c r="G46" s="34"/>
      <c r="H46" s="35"/>
    </row>
    <row r="47" spans="2:12" x14ac:dyDescent="0.2">
      <c r="B47" s="22" t="s">
        <v>98</v>
      </c>
      <c r="C47" s="34" t="s">
        <v>125</v>
      </c>
      <c r="D47" s="61">
        <v>3.15E-2</v>
      </c>
      <c r="F47" s="22" t="s">
        <v>98</v>
      </c>
      <c r="G47" s="34" t="s">
        <v>99</v>
      </c>
      <c r="H47" s="26">
        <v>0</v>
      </c>
    </row>
    <row r="48" spans="2:12" x14ac:dyDescent="0.2">
      <c r="B48" s="22" t="s">
        <v>100</v>
      </c>
      <c r="C48" s="34" t="s">
        <v>126</v>
      </c>
      <c r="D48" s="61">
        <v>3.7000000000000002E-3</v>
      </c>
      <c r="F48" s="22" t="s">
        <v>100</v>
      </c>
      <c r="G48" s="34" t="s">
        <v>101</v>
      </c>
      <c r="H48" s="26">
        <v>0</v>
      </c>
    </row>
    <row r="49" spans="2:8" ht="15" x14ac:dyDescent="0.2">
      <c r="B49" s="22" t="s">
        <v>102</v>
      </c>
      <c r="C49" s="34" t="s">
        <v>103</v>
      </c>
      <c r="D49" s="61">
        <v>0</v>
      </c>
      <c r="F49" s="22" t="s">
        <v>102</v>
      </c>
      <c r="G49" s="34" t="s">
        <v>103</v>
      </c>
      <c r="H49" s="26">
        <v>0</v>
      </c>
    </row>
    <row r="50" spans="2:8" x14ac:dyDescent="0.2">
      <c r="B50" s="22"/>
      <c r="C50" s="34"/>
      <c r="D50" s="61"/>
      <c r="F50" s="22" t="s">
        <v>104</v>
      </c>
      <c r="G50" s="34" t="s">
        <v>105</v>
      </c>
      <c r="H50" s="26">
        <v>0</v>
      </c>
    </row>
    <row r="51" spans="2:8" x14ac:dyDescent="0.2">
      <c r="B51" s="33"/>
      <c r="C51" s="34"/>
      <c r="D51" s="35"/>
      <c r="F51" s="33"/>
      <c r="G51" s="34"/>
      <c r="H51" s="35"/>
    </row>
    <row r="52" spans="2:8" x14ac:dyDescent="0.2">
      <c r="B52" s="33"/>
      <c r="C52" s="36" t="s">
        <v>71</v>
      </c>
      <c r="D52" s="32">
        <f>SUM(D47:D50)</f>
        <v>3.5200000000000002E-2</v>
      </c>
      <c r="F52" s="33"/>
      <c r="G52" s="36" t="s">
        <v>71</v>
      </c>
      <c r="H52" s="32">
        <f>SUM(H47:H50)</f>
        <v>0</v>
      </c>
    </row>
    <row r="53" spans="2:8" ht="13.5" thickBot="1" x14ac:dyDescent="0.25">
      <c r="B53" s="13"/>
      <c r="D53" s="43"/>
      <c r="F53" s="13"/>
      <c r="H53" s="43"/>
    </row>
    <row r="54" spans="2:8" ht="13.5" thickBot="1" x14ac:dyDescent="0.25">
      <c r="B54" s="15" t="s">
        <v>106</v>
      </c>
      <c r="C54" s="16"/>
      <c r="D54" s="40"/>
      <c r="F54" s="15" t="s">
        <v>106</v>
      </c>
      <c r="G54" s="16"/>
      <c r="H54" s="40"/>
    </row>
    <row r="55" spans="2:8" x14ac:dyDescent="0.2">
      <c r="B55" s="13"/>
      <c r="D55" s="43"/>
      <c r="F55" s="13"/>
      <c r="H55" s="43"/>
    </row>
    <row r="56" spans="2:8" x14ac:dyDescent="0.2">
      <c r="B56" s="18" t="s">
        <v>30</v>
      </c>
      <c r="C56" s="19" t="s">
        <v>31</v>
      </c>
      <c r="D56" s="45" t="s">
        <v>48</v>
      </c>
      <c r="F56" s="18" t="s">
        <v>30</v>
      </c>
      <c r="G56" s="19" t="s">
        <v>31</v>
      </c>
      <c r="H56" s="45" t="s">
        <v>48</v>
      </c>
    </row>
    <row r="57" spans="2:8" x14ac:dyDescent="0.2">
      <c r="B57" s="33"/>
      <c r="C57" s="34"/>
      <c r="D57" s="35"/>
      <c r="F57" s="33"/>
      <c r="G57" s="34"/>
      <c r="H57" s="35"/>
    </row>
    <row r="58" spans="2:8" x14ac:dyDescent="0.2">
      <c r="B58" s="22" t="s">
        <v>107</v>
      </c>
      <c r="C58" s="34" t="s">
        <v>108</v>
      </c>
      <c r="D58" s="61">
        <f>D26*D41</f>
        <v>8.9644800000000011E-2</v>
      </c>
      <c r="F58" s="22" t="s">
        <v>107</v>
      </c>
      <c r="G58" s="34" t="s">
        <v>108</v>
      </c>
      <c r="H58" s="26">
        <v>0</v>
      </c>
    </row>
    <row r="59" spans="2:8" x14ac:dyDescent="0.2">
      <c r="B59" s="22" t="s">
        <v>109</v>
      </c>
      <c r="C59" s="34" t="s">
        <v>127</v>
      </c>
      <c r="D59" s="61">
        <f>(D26-D18)*D36</f>
        <v>1.2002000000000002E-2</v>
      </c>
      <c r="F59" s="22" t="s">
        <v>109</v>
      </c>
      <c r="G59" s="34" t="s">
        <v>110</v>
      </c>
      <c r="H59" s="26">
        <v>0</v>
      </c>
    </row>
    <row r="60" spans="2:8" x14ac:dyDescent="0.2">
      <c r="B60" s="22" t="s">
        <v>111</v>
      </c>
      <c r="C60" s="34" t="s">
        <v>112</v>
      </c>
      <c r="D60" s="61">
        <v>0</v>
      </c>
      <c r="F60" s="22" t="s">
        <v>111</v>
      </c>
      <c r="G60" s="34" t="s">
        <v>112</v>
      </c>
      <c r="H60" s="26">
        <v>0</v>
      </c>
    </row>
    <row r="61" spans="2:8" x14ac:dyDescent="0.2">
      <c r="B61" s="33"/>
      <c r="C61" s="34"/>
      <c r="D61" s="35"/>
      <c r="F61" s="33"/>
      <c r="G61" s="34"/>
      <c r="H61" s="35"/>
    </row>
    <row r="62" spans="2:8" x14ac:dyDescent="0.2">
      <c r="B62" s="33"/>
      <c r="C62" s="36" t="s">
        <v>71</v>
      </c>
      <c r="D62" s="32">
        <f>SUM(D58:D60)</f>
        <v>0.10164680000000001</v>
      </c>
      <c r="F62" s="33"/>
      <c r="G62" s="36" t="s">
        <v>71</v>
      </c>
      <c r="H62" s="32">
        <f>SUM(H58:H60)</f>
        <v>0</v>
      </c>
    </row>
    <row r="63" spans="2:8" ht="13.5" thickBot="1" x14ac:dyDescent="0.25">
      <c r="B63" s="13"/>
      <c r="D63" s="43"/>
      <c r="F63" s="13"/>
      <c r="H63" s="43"/>
    </row>
    <row r="64" spans="2:8" ht="13.5" thickBot="1" x14ac:dyDescent="0.25">
      <c r="B64" s="15" t="s">
        <v>113</v>
      </c>
      <c r="C64" s="16"/>
      <c r="D64" s="40"/>
      <c r="F64" s="15" t="s">
        <v>113</v>
      </c>
      <c r="G64" s="16"/>
      <c r="H64" s="40"/>
    </row>
    <row r="65" spans="2:8" x14ac:dyDescent="0.2">
      <c r="B65" s="13"/>
      <c r="D65" s="43"/>
      <c r="F65" s="13"/>
      <c r="H65" s="43"/>
    </row>
    <row r="66" spans="2:8" x14ac:dyDescent="0.2">
      <c r="B66" s="18" t="s">
        <v>30</v>
      </c>
      <c r="C66" s="19" t="s">
        <v>31</v>
      </c>
      <c r="D66" s="45" t="s">
        <v>48</v>
      </c>
      <c r="F66" s="18" t="s">
        <v>30</v>
      </c>
      <c r="G66" s="19" t="s">
        <v>31</v>
      </c>
      <c r="H66" s="45" t="s">
        <v>48</v>
      </c>
    </row>
    <row r="67" spans="2:8" x14ac:dyDescent="0.2">
      <c r="B67" s="33"/>
      <c r="C67" s="34"/>
      <c r="D67" s="35"/>
      <c r="F67" s="33"/>
      <c r="G67" s="34"/>
      <c r="H67" s="35"/>
    </row>
    <row r="68" spans="2:8" x14ac:dyDescent="0.2">
      <c r="B68" s="33" t="s">
        <v>114</v>
      </c>
      <c r="C68" s="34" t="s">
        <v>115</v>
      </c>
      <c r="D68" s="61">
        <v>7.2599999999999998E-2</v>
      </c>
      <c r="F68" s="33" t="s">
        <v>114</v>
      </c>
      <c r="G68" s="34" t="s">
        <v>115</v>
      </c>
      <c r="H68" s="26">
        <v>0</v>
      </c>
    </row>
    <row r="69" spans="2:8" x14ac:dyDescent="0.2">
      <c r="B69" s="33" t="s">
        <v>116</v>
      </c>
      <c r="C69" s="34" t="s">
        <v>117</v>
      </c>
      <c r="D69" s="61">
        <v>1.2699999999999999E-2</v>
      </c>
      <c r="F69" s="33" t="s">
        <v>116</v>
      </c>
      <c r="G69" s="34" t="s">
        <v>117</v>
      </c>
      <c r="H69" s="26">
        <v>0</v>
      </c>
    </row>
    <row r="70" spans="2:8" x14ac:dyDescent="0.2">
      <c r="B70" s="33" t="s">
        <v>118</v>
      </c>
      <c r="C70" s="34" t="s">
        <v>119</v>
      </c>
      <c r="D70" s="61">
        <v>1.44E-2</v>
      </c>
      <c r="F70" s="33" t="s">
        <v>118</v>
      </c>
      <c r="G70" s="34" t="s">
        <v>119</v>
      </c>
      <c r="H70" s="26">
        <v>0</v>
      </c>
    </row>
    <row r="71" spans="2:8" x14ac:dyDescent="0.2">
      <c r="B71" s="33" t="s">
        <v>120</v>
      </c>
      <c r="C71" s="34" t="s">
        <v>121</v>
      </c>
      <c r="D71" s="61">
        <v>3.0000000000000001E-3</v>
      </c>
      <c r="F71" s="33" t="s">
        <v>120</v>
      </c>
      <c r="G71" s="34" t="s">
        <v>121</v>
      </c>
      <c r="H71" s="26">
        <v>0</v>
      </c>
    </row>
    <row r="72" spans="2:8" x14ac:dyDescent="0.2">
      <c r="B72" s="33" t="s">
        <v>128</v>
      </c>
      <c r="C72" s="34" t="s">
        <v>129</v>
      </c>
      <c r="D72" s="35">
        <v>2.5000000000000001E-3</v>
      </c>
      <c r="F72" s="33"/>
      <c r="G72" s="34"/>
      <c r="H72" s="35"/>
    </row>
    <row r="73" spans="2:8" x14ac:dyDescent="0.2">
      <c r="B73" s="33"/>
      <c r="C73" s="36" t="s">
        <v>71</v>
      </c>
      <c r="D73" s="32">
        <f>SUM(D68:D72)</f>
        <v>0.1052</v>
      </c>
      <c r="F73" s="33"/>
      <c r="G73" s="36" t="s">
        <v>71</v>
      </c>
      <c r="H73" s="32">
        <f>SUM(H68:H71)</f>
        <v>0</v>
      </c>
    </row>
    <row r="74" spans="2:8" ht="13.5" thickBot="1" x14ac:dyDescent="0.25">
      <c r="B74" s="47"/>
      <c r="C74" s="48"/>
      <c r="D74" s="49"/>
      <c r="F74" s="47"/>
      <c r="G74" s="48"/>
      <c r="H74" s="49"/>
    </row>
    <row r="75" spans="2:8" ht="13.5" thickBot="1" x14ac:dyDescent="0.25">
      <c r="B75" s="13"/>
      <c r="D75" s="43"/>
      <c r="F75" s="13"/>
      <c r="H75" s="43"/>
    </row>
    <row r="76" spans="2:8" ht="13.5" thickBot="1" x14ac:dyDescent="0.25">
      <c r="B76" s="53" t="s">
        <v>122</v>
      </c>
      <c r="C76" s="54"/>
      <c r="D76" s="55">
        <f>D26+D41+D52+D62+D73</f>
        <v>0.85364680000000004</v>
      </c>
      <c r="F76" s="53" t="s">
        <v>123</v>
      </c>
      <c r="G76" s="54"/>
      <c r="H76" s="55">
        <f>H26+H41+H52+H62+H73</f>
        <v>0.2</v>
      </c>
    </row>
  </sheetData>
  <mergeCells count="19">
    <mergeCell ref="J26:K26"/>
    <mergeCell ref="J31:L31"/>
    <mergeCell ref="J38:L38"/>
    <mergeCell ref="J17:L17"/>
    <mergeCell ref="J18:L18"/>
    <mergeCell ref="J21:K21"/>
    <mergeCell ref="J22:K22"/>
    <mergeCell ref="J23:K23"/>
    <mergeCell ref="J24:K24"/>
    <mergeCell ref="B3:K3"/>
    <mergeCell ref="C5:H5"/>
    <mergeCell ref="C6:H6"/>
    <mergeCell ref="J4:K4"/>
    <mergeCell ref="J15:K15"/>
    <mergeCell ref="B9:D9"/>
    <mergeCell ref="F9:H9"/>
    <mergeCell ref="J9:L9"/>
    <mergeCell ref="J11:K11"/>
    <mergeCell ref="J13:L13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42" fitToHeight="0" orientation="portrait" r:id="rId1"/>
  <headerFooter alignWithMargins="0">
    <oddFooter>&amp;L&amp;A&amp;R&amp;P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4E20-DC09-4A7F-8D12-3FD8F3611551}">
  <dimension ref="A1:AF32"/>
  <sheetViews>
    <sheetView view="pageBreakPreview" topLeftCell="M1" zoomScale="60" zoomScaleNormal="60" workbookViewId="0">
      <selection activeCell="B2" sqref="B2:AB2"/>
    </sheetView>
  </sheetViews>
  <sheetFormatPr defaultColWidth="3.7109375" defaultRowHeight="15" x14ac:dyDescent="0.2"/>
  <cols>
    <col min="1" max="1" width="86.28515625" style="147" customWidth="1"/>
    <col min="2" max="2" width="24.85546875" style="147" customWidth="1"/>
    <col min="3" max="3" width="25" style="147" customWidth="1"/>
    <col min="4" max="27" width="27.85546875" style="158" customWidth="1"/>
    <col min="28" max="28" width="24.5703125" style="158" customWidth="1"/>
    <col min="29" max="31" width="3.7109375" style="147"/>
    <col min="32" max="32" width="26.140625" style="147" customWidth="1"/>
    <col min="33" max="16384" width="3.7109375" style="147"/>
  </cols>
  <sheetData>
    <row r="1" spans="1:32" ht="15.75" x14ac:dyDescent="0.2">
      <c r="A1" s="146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3"/>
      <c r="AD1" s="148"/>
    </row>
    <row r="2" spans="1:32" s="150" customFormat="1" ht="57.75" customHeight="1" thickBot="1" x14ac:dyDescent="0.25">
      <c r="A2" s="149"/>
      <c r="B2" s="264" t="s">
        <v>189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5"/>
    </row>
    <row r="3" spans="1:32" ht="24.75" customHeight="1" thickBot="1" x14ac:dyDescent="0.25">
      <c r="A3" s="266" t="s">
        <v>134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8"/>
    </row>
    <row r="4" spans="1:32" ht="15.75" x14ac:dyDescent="0.2">
      <c r="A4" s="269" t="s">
        <v>30</v>
      </c>
      <c r="B4" s="271" t="s">
        <v>168</v>
      </c>
      <c r="C4" s="271" t="s">
        <v>130</v>
      </c>
      <c r="D4" s="273" t="s">
        <v>32</v>
      </c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4"/>
    </row>
    <row r="5" spans="1:32" ht="15.75" x14ac:dyDescent="0.2">
      <c r="A5" s="270"/>
      <c r="B5" s="272"/>
      <c r="C5" s="272"/>
      <c r="D5" s="178">
        <v>1</v>
      </c>
      <c r="E5" s="178">
        <v>2</v>
      </c>
      <c r="F5" s="178">
        <v>3</v>
      </c>
      <c r="G5" s="178">
        <v>4</v>
      </c>
      <c r="H5" s="178">
        <v>5</v>
      </c>
      <c r="I5" s="178">
        <v>6</v>
      </c>
      <c r="J5" s="178">
        <v>7</v>
      </c>
      <c r="K5" s="178">
        <v>8</v>
      </c>
      <c r="L5" s="178">
        <v>9</v>
      </c>
      <c r="M5" s="178">
        <v>10</v>
      </c>
      <c r="N5" s="178">
        <v>11</v>
      </c>
      <c r="O5" s="178">
        <v>12</v>
      </c>
      <c r="P5" s="178">
        <v>13</v>
      </c>
      <c r="Q5" s="178">
        <v>14</v>
      </c>
      <c r="R5" s="178">
        <v>15</v>
      </c>
      <c r="S5" s="178">
        <v>16</v>
      </c>
      <c r="T5" s="178">
        <v>17</v>
      </c>
      <c r="U5" s="178">
        <v>18</v>
      </c>
      <c r="V5" s="178">
        <v>19</v>
      </c>
      <c r="W5" s="178">
        <v>20</v>
      </c>
      <c r="X5" s="178">
        <v>21</v>
      </c>
      <c r="Y5" s="178">
        <v>22</v>
      </c>
      <c r="Z5" s="178">
        <v>23</v>
      </c>
      <c r="AA5" s="178">
        <v>24</v>
      </c>
      <c r="AB5" s="179" t="s">
        <v>139</v>
      </c>
    </row>
    <row r="6" spans="1:32" ht="24.75" customHeight="1" thickBot="1" x14ac:dyDescent="0.25">
      <c r="A6" s="260" t="s">
        <v>179</v>
      </c>
      <c r="B6" s="247">
        <f>C6/C$22</f>
        <v>0.10291884377884353</v>
      </c>
      <c r="C6" s="257">
        <f>'R1 '!J31</f>
        <v>873683.50031425478</v>
      </c>
      <c r="D6" s="180">
        <f>$C$6*D7</f>
        <v>13105.252504713821</v>
      </c>
      <c r="E6" s="180">
        <f t="shared" ref="E6:AA6" si="0">$C$6*E7</f>
        <v>13105.252504713821</v>
      </c>
      <c r="F6" s="180">
        <f t="shared" si="0"/>
        <v>13105.252504713821</v>
      </c>
      <c r="G6" s="180">
        <f t="shared" si="0"/>
        <v>13105.252504713821</v>
      </c>
      <c r="H6" s="180">
        <f t="shared" si="0"/>
        <v>13105.252504713821</v>
      </c>
      <c r="I6" s="180">
        <f t="shared" si="0"/>
        <v>13105.252504713821</v>
      </c>
      <c r="J6" s="180">
        <f t="shared" si="0"/>
        <v>13105.252504713821</v>
      </c>
      <c r="K6" s="180">
        <f t="shared" si="0"/>
        <v>13105.252504713821</v>
      </c>
      <c r="L6" s="180">
        <f t="shared" si="0"/>
        <v>13105.252504713821</v>
      </c>
      <c r="M6" s="180">
        <f t="shared" si="0"/>
        <v>13105.252504713821</v>
      </c>
      <c r="N6" s="180">
        <f t="shared" si="0"/>
        <v>13105.252504713821</v>
      </c>
      <c r="O6" s="180">
        <f t="shared" si="0"/>
        <v>8736.8350031425471</v>
      </c>
      <c r="P6" s="180">
        <f t="shared" si="0"/>
        <v>78631.515028282927</v>
      </c>
      <c r="Q6" s="180">
        <f t="shared" si="0"/>
        <v>74263.097526711659</v>
      </c>
      <c r="R6" s="180">
        <f t="shared" si="0"/>
        <v>69894.680025140377</v>
      </c>
      <c r="S6" s="180">
        <f t="shared" si="0"/>
        <v>69894.680025140377</v>
      </c>
      <c r="T6" s="180">
        <f t="shared" si="0"/>
        <v>52421.010018855282</v>
      </c>
      <c r="U6" s="180">
        <f t="shared" si="0"/>
        <v>52421.010018855282</v>
      </c>
      <c r="V6" s="180">
        <f t="shared" si="0"/>
        <v>61157.84502199784</v>
      </c>
      <c r="W6" s="180">
        <f t="shared" si="0"/>
        <v>52421.010018855282</v>
      </c>
      <c r="X6" s="180">
        <f t="shared" si="0"/>
        <v>52421.010018855282</v>
      </c>
      <c r="Y6" s="180">
        <f t="shared" si="0"/>
        <v>52421.010018855282</v>
      </c>
      <c r="Z6" s="180">
        <f t="shared" si="0"/>
        <v>52421.010018855282</v>
      </c>
      <c r="AA6" s="180">
        <f t="shared" si="0"/>
        <v>52421.010018855282</v>
      </c>
      <c r="AB6" s="244">
        <f>SUM(D6:AA6)</f>
        <v>873683.5003142549</v>
      </c>
      <c r="AF6" s="151"/>
    </row>
    <row r="7" spans="1:32" ht="27.75" customHeight="1" x14ac:dyDescent="0.2">
      <c r="A7" s="246"/>
      <c r="B7" s="248"/>
      <c r="C7" s="258"/>
      <c r="D7" s="152">
        <v>1.4999999999999999E-2</v>
      </c>
      <c r="E7" s="152">
        <v>1.4999999999999999E-2</v>
      </c>
      <c r="F7" s="152">
        <v>1.4999999999999999E-2</v>
      </c>
      <c r="G7" s="152">
        <v>1.4999999999999999E-2</v>
      </c>
      <c r="H7" s="152">
        <v>1.4999999999999999E-2</v>
      </c>
      <c r="I7" s="152">
        <v>1.4999999999999999E-2</v>
      </c>
      <c r="J7" s="152">
        <v>1.4999999999999999E-2</v>
      </c>
      <c r="K7" s="152">
        <v>1.4999999999999999E-2</v>
      </c>
      <c r="L7" s="152">
        <v>1.4999999999999999E-2</v>
      </c>
      <c r="M7" s="152">
        <v>1.4999999999999999E-2</v>
      </c>
      <c r="N7" s="152">
        <v>1.4999999999999999E-2</v>
      </c>
      <c r="O7" s="152">
        <v>0.01</v>
      </c>
      <c r="P7" s="152">
        <v>0.09</v>
      </c>
      <c r="Q7" s="152">
        <v>8.5000000000000006E-2</v>
      </c>
      <c r="R7" s="152">
        <v>0.08</v>
      </c>
      <c r="S7" s="152">
        <v>0.08</v>
      </c>
      <c r="T7" s="152">
        <v>0.06</v>
      </c>
      <c r="U7" s="152">
        <v>0.06</v>
      </c>
      <c r="V7" s="152">
        <v>7.0000000000000007E-2</v>
      </c>
      <c r="W7" s="152">
        <v>0.06</v>
      </c>
      <c r="X7" s="152">
        <v>0.06</v>
      </c>
      <c r="Y7" s="152">
        <v>0.06</v>
      </c>
      <c r="Z7" s="152">
        <v>0.06</v>
      </c>
      <c r="AA7" s="152">
        <v>0.06</v>
      </c>
      <c r="AB7" s="245"/>
    </row>
    <row r="8" spans="1:32" ht="15.75" thickBot="1" x14ac:dyDescent="0.25">
      <c r="A8" s="246" t="s">
        <v>180</v>
      </c>
      <c r="B8" s="247">
        <f t="shared" ref="B8" si="1">C8/C$22</f>
        <v>0.15239113040940841</v>
      </c>
      <c r="C8" s="261">
        <f>'R2'!J31</f>
        <v>1293656.3543119323</v>
      </c>
      <c r="D8" s="180">
        <f>$C$8*D9</f>
        <v>19404.845314678983</v>
      </c>
      <c r="E8" s="180">
        <f t="shared" ref="E8:AA8" si="2">$C$8*E9</f>
        <v>19404.845314678983</v>
      </c>
      <c r="F8" s="180">
        <f t="shared" si="2"/>
        <v>19404.845314678983</v>
      </c>
      <c r="G8" s="180">
        <f t="shared" si="2"/>
        <v>19404.845314678983</v>
      </c>
      <c r="H8" s="180">
        <f t="shared" si="2"/>
        <v>19404.845314678983</v>
      </c>
      <c r="I8" s="180">
        <f t="shared" si="2"/>
        <v>19404.845314678983</v>
      </c>
      <c r="J8" s="180">
        <f t="shared" si="2"/>
        <v>19404.845314678983</v>
      </c>
      <c r="K8" s="180">
        <f t="shared" si="2"/>
        <v>12936.563543119324</v>
      </c>
      <c r="L8" s="180">
        <f t="shared" si="2"/>
        <v>12936.563543119324</v>
      </c>
      <c r="M8" s="180">
        <f t="shared" si="2"/>
        <v>12936.563543119324</v>
      </c>
      <c r="N8" s="180">
        <f t="shared" si="2"/>
        <v>12936.563543119324</v>
      </c>
      <c r="O8" s="180">
        <f t="shared" si="2"/>
        <v>12936.563543119324</v>
      </c>
      <c r="P8" s="180">
        <f t="shared" si="2"/>
        <v>129365.63543119324</v>
      </c>
      <c r="Q8" s="180">
        <f t="shared" si="2"/>
        <v>109960.79011651425</v>
      </c>
      <c r="R8" s="180">
        <f t="shared" si="2"/>
        <v>116429.0718880739</v>
      </c>
      <c r="S8" s="180">
        <f t="shared" si="2"/>
        <v>103492.50834495459</v>
      </c>
      <c r="T8" s="180">
        <f t="shared" si="2"/>
        <v>77619.381258715934</v>
      </c>
      <c r="U8" s="180">
        <f t="shared" si="2"/>
        <v>77619.381258715934</v>
      </c>
      <c r="V8" s="180">
        <f t="shared" si="2"/>
        <v>90555.94480183527</v>
      </c>
      <c r="W8" s="180">
        <f t="shared" si="2"/>
        <v>77619.381258715934</v>
      </c>
      <c r="X8" s="180">
        <f t="shared" si="2"/>
        <v>77619.381258715934</v>
      </c>
      <c r="Y8" s="180">
        <f t="shared" si="2"/>
        <v>77619.381258715934</v>
      </c>
      <c r="Z8" s="180">
        <f t="shared" si="2"/>
        <v>77619.381258715934</v>
      </c>
      <c r="AA8" s="180">
        <f t="shared" si="2"/>
        <v>77619.381258715934</v>
      </c>
      <c r="AB8" s="244">
        <f t="shared" ref="AB8" si="3">SUM(D8:AA8)</f>
        <v>1293656.3543119321</v>
      </c>
    </row>
    <row r="9" spans="1:32" ht="26.25" customHeight="1" x14ac:dyDescent="0.2">
      <c r="A9" s="246"/>
      <c r="B9" s="248"/>
      <c r="C9" s="257"/>
      <c r="D9" s="152">
        <v>1.4999999999999999E-2</v>
      </c>
      <c r="E9" s="152">
        <v>1.4999999999999999E-2</v>
      </c>
      <c r="F9" s="152">
        <v>1.4999999999999999E-2</v>
      </c>
      <c r="G9" s="152">
        <v>1.4999999999999999E-2</v>
      </c>
      <c r="H9" s="152">
        <v>1.4999999999999999E-2</v>
      </c>
      <c r="I9" s="152">
        <v>1.4999999999999999E-2</v>
      </c>
      <c r="J9" s="152">
        <v>1.4999999999999999E-2</v>
      </c>
      <c r="K9" s="152">
        <v>0.01</v>
      </c>
      <c r="L9" s="152">
        <v>0.01</v>
      </c>
      <c r="M9" s="152">
        <v>0.01</v>
      </c>
      <c r="N9" s="152">
        <v>0.01</v>
      </c>
      <c r="O9" s="152">
        <v>0.01</v>
      </c>
      <c r="P9" s="152">
        <v>0.1</v>
      </c>
      <c r="Q9" s="152">
        <v>8.5000000000000006E-2</v>
      </c>
      <c r="R9" s="152">
        <v>0.09</v>
      </c>
      <c r="S9" s="152">
        <v>0.08</v>
      </c>
      <c r="T9" s="152">
        <v>0.06</v>
      </c>
      <c r="U9" s="152">
        <v>0.06</v>
      </c>
      <c r="V9" s="152">
        <v>7.0000000000000007E-2</v>
      </c>
      <c r="W9" s="152">
        <v>0.06</v>
      </c>
      <c r="X9" s="152">
        <v>0.06</v>
      </c>
      <c r="Y9" s="152">
        <v>0.06</v>
      </c>
      <c r="Z9" s="152">
        <v>0.06</v>
      </c>
      <c r="AA9" s="152">
        <v>0.06</v>
      </c>
      <c r="AB9" s="245"/>
    </row>
    <row r="10" spans="1:32" ht="15.75" thickBot="1" x14ac:dyDescent="0.25">
      <c r="A10" s="246" t="s">
        <v>178</v>
      </c>
      <c r="B10" s="247">
        <f t="shared" ref="B10" si="4">C10/C$22</f>
        <v>0.17442449225797849</v>
      </c>
      <c r="C10" s="257">
        <f>'R3'!J31</f>
        <v>1480698.7266972547</v>
      </c>
      <c r="D10" s="180">
        <f>$C$10*D11</f>
        <v>22210.480900458821</v>
      </c>
      <c r="E10" s="180">
        <f t="shared" ref="E10:AA10" si="5">$C$10*E11</f>
        <v>22210.480900458821</v>
      </c>
      <c r="F10" s="180">
        <f t="shared" si="5"/>
        <v>22210.480900458821</v>
      </c>
      <c r="G10" s="180">
        <f t="shared" si="5"/>
        <v>22210.480900458821</v>
      </c>
      <c r="H10" s="180">
        <f t="shared" si="5"/>
        <v>22210.480900458821</v>
      </c>
      <c r="I10" s="180">
        <f t="shared" si="5"/>
        <v>22210.480900458821</v>
      </c>
      <c r="J10" s="180">
        <f t="shared" si="5"/>
        <v>17784.673887059453</v>
      </c>
      <c r="K10" s="180">
        <f t="shared" si="5"/>
        <v>21058.275186279352</v>
      </c>
      <c r="L10" s="180">
        <f t="shared" si="5"/>
        <v>14806.987266972546</v>
      </c>
      <c r="M10" s="180">
        <f t="shared" si="5"/>
        <v>14806.987266972546</v>
      </c>
      <c r="N10" s="180">
        <f t="shared" si="5"/>
        <v>14806.987266972546</v>
      </c>
      <c r="O10" s="180">
        <f t="shared" si="5"/>
        <v>14806.987266972546</v>
      </c>
      <c r="P10" s="180">
        <f t="shared" si="5"/>
        <v>104113.74526277273</v>
      </c>
      <c r="Q10" s="180">
        <f t="shared" si="5"/>
        <v>104113.74526277273</v>
      </c>
      <c r="R10" s="180">
        <f t="shared" si="5"/>
        <v>104113.74526277273</v>
      </c>
      <c r="S10" s="180">
        <f t="shared" si="5"/>
        <v>104113.74526277273</v>
      </c>
      <c r="T10" s="180">
        <f t="shared" si="5"/>
        <v>104113.74526277273</v>
      </c>
      <c r="U10" s="180">
        <f t="shared" si="5"/>
        <v>104113.74526277273</v>
      </c>
      <c r="V10" s="180">
        <f t="shared" si="5"/>
        <v>104113.74526277273</v>
      </c>
      <c r="W10" s="180">
        <f t="shared" si="5"/>
        <v>104113.74526277273</v>
      </c>
      <c r="X10" s="180">
        <f t="shared" si="5"/>
        <v>104113.74526277273</v>
      </c>
      <c r="Y10" s="180">
        <f t="shared" si="5"/>
        <v>104113.74526277273</v>
      </c>
      <c r="Z10" s="180">
        <f t="shared" si="5"/>
        <v>104113.74526277273</v>
      </c>
      <c r="AA10" s="180">
        <f t="shared" si="5"/>
        <v>104113.74526277273</v>
      </c>
      <c r="AB10" s="244">
        <f t="shared" ref="AB10" si="6">SUM(D10:AA10)</f>
        <v>1480698.7266972549</v>
      </c>
    </row>
    <row r="11" spans="1:32" x14ac:dyDescent="0.2">
      <c r="A11" s="246"/>
      <c r="B11" s="248"/>
      <c r="C11" s="258"/>
      <c r="D11" s="152">
        <v>1.4999999999999999E-2</v>
      </c>
      <c r="E11" s="152">
        <v>1.4999999999999999E-2</v>
      </c>
      <c r="F11" s="152">
        <v>1.4999999999999999E-2</v>
      </c>
      <c r="G11" s="152">
        <v>1.4999999999999999E-2</v>
      </c>
      <c r="H11" s="152">
        <v>1.4999999999999999E-2</v>
      </c>
      <c r="I11" s="152">
        <v>1.4999999999999999E-2</v>
      </c>
      <c r="J11" s="152">
        <v>1.2011001E-2</v>
      </c>
      <c r="K11" s="152">
        <v>1.4221849999999999E-2</v>
      </c>
      <c r="L11" s="152">
        <v>0.01</v>
      </c>
      <c r="M11" s="152">
        <v>0.01</v>
      </c>
      <c r="N11" s="152">
        <v>0.01</v>
      </c>
      <c r="O11" s="152">
        <v>0.01</v>
      </c>
      <c r="P11" s="152">
        <v>7.0313929083333337E-2</v>
      </c>
      <c r="Q11" s="152">
        <v>7.0313929083333337E-2</v>
      </c>
      <c r="R11" s="152">
        <v>7.0313929083333337E-2</v>
      </c>
      <c r="S11" s="152">
        <v>7.0313929083333337E-2</v>
      </c>
      <c r="T11" s="152">
        <v>7.0313929083333337E-2</v>
      </c>
      <c r="U11" s="152">
        <v>7.0313929083333337E-2</v>
      </c>
      <c r="V11" s="152">
        <v>7.0313929083333337E-2</v>
      </c>
      <c r="W11" s="152">
        <v>7.0313929083333337E-2</v>
      </c>
      <c r="X11" s="152">
        <v>7.0313929083333337E-2</v>
      </c>
      <c r="Y11" s="152">
        <v>7.0313929083333337E-2</v>
      </c>
      <c r="Z11" s="152">
        <v>7.0313929083333337E-2</v>
      </c>
      <c r="AA11" s="152">
        <v>7.0313929083333337E-2</v>
      </c>
      <c r="AB11" s="245"/>
    </row>
    <row r="12" spans="1:32" ht="15.75" thickBot="1" x14ac:dyDescent="0.25">
      <c r="A12" s="246" t="s">
        <v>181</v>
      </c>
      <c r="B12" s="247">
        <f t="shared" ref="B12" si="7">C12/C$22</f>
        <v>4.9970300186225891E-2</v>
      </c>
      <c r="C12" s="249">
        <f>'R4'!J31</f>
        <v>424200.51737338386</v>
      </c>
      <c r="D12" s="180">
        <f>$C$12*D13</f>
        <v>35350.04311444865</v>
      </c>
      <c r="E12" s="180">
        <f t="shared" ref="E12:AA12" si="8">$C$12*E13</f>
        <v>35350.04311444865</v>
      </c>
      <c r="F12" s="180">
        <f t="shared" si="8"/>
        <v>35350.04311444865</v>
      </c>
      <c r="G12" s="180">
        <f t="shared" si="8"/>
        <v>35350.04311444865</v>
      </c>
      <c r="H12" s="180">
        <f t="shared" si="8"/>
        <v>35350.04311444865</v>
      </c>
      <c r="I12" s="180">
        <f t="shared" si="8"/>
        <v>35350.04311444865</v>
      </c>
      <c r="J12" s="180">
        <f t="shared" si="8"/>
        <v>35350.04311444865</v>
      </c>
      <c r="K12" s="180">
        <f t="shared" si="8"/>
        <v>35350.04311444865</v>
      </c>
      <c r="L12" s="180">
        <f t="shared" si="8"/>
        <v>35350.04311444865</v>
      </c>
      <c r="M12" s="180">
        <f t="shared" si="8"/>
        <v>35350.04311444865</v>
      </c>
      <c r="N12" s="180">
        <f t="shared" si="8"/>
        <v>35350.04311444865</v>
      </c>
      <c r="O12" s="180">
        <f t="shared" si="8"/>
        <v>35350.04311444865</v>
      </c>
      <c r="P12" s="180">
        <f t="shared" si="8"/>
        <v>0</v>
      </c>
      <c r="Q12" s="180">
        <f t="shared" si="8"/>
        <v>0</v>
      </c>
      <c r="R12" s="180">
        <f t="shared" si="8"/>
        <v>0</v>
      </c>
      <c r="S12" s="180">
        <f t="shared" si="8"/>
        <v>0</v>
      </c>
      <c r="T12" s="180">
        <f t="shared" si="8"/>
        <v>0</v>
      </c>
      <c r="U12" s="180">
        <f t="shared" si="8"/>
        <v>0</v>
      </c>
      <c r="V12" s="180">
        <f t="shared" si="8"/>
        <v>0</v>
      </c>
      <c r="W12" s="180">
        <f t="shared" si="8"/>
        <v>0</v>
      </c>
      <c r="X12" s="180">
        <f t="shared" si="8"/>
        <v>0</v>
      </c>
      <c r="Y12" s="180">
        <f t="shared" si="8"/>
        <v>0</v>
      </c>
      <c r="Z12" s="180">
        <f t="shared" si="8"/>
        <v>0</v>
      </c>
      <c r="AA12" s="180">
        <f t="shared" si="8"/>
        <v>0</v>
      </c>
      <c r="AB12" s="244">
        <f t="shared" ref="AB12" si="9">SUM(D12:AA12)</f>
        <v>424200.51737338392</v>
      </c>
    </row>
    <row r="13" spans="1:32" ht="81" customHeight="1" x14ac:dyDescent="0.2">
      <c r="A13" s="246"/>
      <c r="B13" s="248"/>
      <c r="C13" s="250"/>
      <c r="D13" s="152">
        <f t="shared" ref="D13:O13" si="10">100%/12</f>
        <v>8.3333333333333329E-2</v>
      </c>
      <c r="E13" s="152">
        <f t="shared" si="10"/>
        <v>8.3333333333333329E-2</v>
      </c>
      <c r="F13" s="152">
        <f t="shared" si="10"/>
        <v>8.3333333333333329E-2</v>
      </c>
      <c r="G13" s="152">
        <f t="shared" si="10"/>
        <v>8.3333333333333329E-2</v>
      </c>
      <c r="H13" s="152">
        <f t="shared" si="10"/>
        <v>8.3333333333333329E-2</v>
      </c>
      <c r="I13" s="152">
        <f t="shared" si="10"/>
        <v>8.3333333333333329E-2</v>
      </c>
      <c r="J13" s="152">
        <f t="shared" si="10"/>
        <v>8.3333333333333329E-2</v>
      </c>
      <c r="K13" s="152">
        <f t="shared" si="10"/>
        <v>8.3333333333333329E-2</v>
      </c>
      <c r="L13" s="152">
        <f t="shared" si="10"/>
        <v>8.3333333333333329E-2</v>
      </c>
      <c r="M13" s="152">
        <f t="shared" si="10"/>
        <v>8.3333333333333329E-2</v>
      </c>
      <c r="N13" s="152">
        <f t="shared" si="10"/>
        <v>8.3333333333333329E-2</v>
      </c>
      <c r="O13" s="152">
        <f t="shared" si="10"/>
        <v>8.3333333333333329E-2</v>
      </c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245"/>
      <c r="AF13" s="176"/>
    </row>
    <row r="14" spans="1:32" ht="15.75" thickBot="1" x14ac:dyDescent="0.25">
      <c r="A14" s="246" t="s">
        <v>182</v>
      </c>
      <c r="B14" s="247">
        <f t="shared" ref="B14" si="11">C14/C$22</f>
        <v>0.20764108633097619</v>
      </c>
      <c r="C14" s="249">
        <f>'R5'!J31</f>
        <v>1762676.1480582594</v>
      </c>
      <c r="D14" s="180">
        <f>$C$14*D15</f>
        <v>17626.761480582594</v>
      </c>
      <c r="E14" s="180">
        <f t="shared" ref="E14:AA14" si="12">$C$14*E15</f>
        <v>17626.761480582594</v>
      </c>
      <c r="F14" s="180">
        <f t="shared" si="12"/>
        <v>17626.761480582594</v>
      </c>
      <c r="G14" s="180">
        <f t="shared" si="12"/>
        <v>17626.761480582594</v>
      </c>
      <c r="H14" s="180">
        <f t="shared" si="12"/>
        <v>17626.761480582594</v>
      </c>
      <c r="I14" s="180">
        <f t="shared" si="12"/>
        <v>17626.761480582594</v>
      </c>
      <c r="J14" s="180">
        <f t="shared" si="12"/>
        <v>17626.761480582594</v>
      </c>
      <c r="K14" s="180">
        <f t="shared" si="12"/>
        <v>17626.761480582594</v>
      </c>
      <c r="L14" s="180">
        <f t="shared" si="12"/>
        <v>17626.761480582594</v>
      </c>
      <c r="M14" s="180">
        <f t="shared" si="12"/>
        <v>17626.761480582594</v>
      </c>
      <c r="N14" s="180">
        <f t="shared" si="12"/>
        <v>17626.761480582594</v>
      </c>
      <c r="O14" s="180">
        <f t="shared" si="12"/>
        <v>17626.761480582594</v>
      </c>
      <c r="P14" s="180">
        <f t="shared" si="12"/>
        <v>123387.33036407817</v>
      </c>
      <c r="Q14" s="180">
        <f t="shared" si="12"/>
        <v>123387.33036407817</v>
      </c>
      <c r="R14" s="180">
        <f t="shared" si="12"/>
        <v>123387.33036407817</v>
      </c>
      <c r="S14" s="180">
        <f t="shared" si="12"/>
        <v>123387.33036407817</v>
      </c>
      <c r="T14" s="180">
        <f t="shared" si="12"/>
        <v>123387.33036407817</v>
      </c>
      <c r="U14" s="180">
        <f t="shared" si="12"/>
        <v>123387.33036407817</v>
      </c>
      <c r="V14" s="180">
        <f t="shared" si="12"/>
        <v>123387.33036407817</v>
      </c>
      <c r="W14" s="180">
        <f t="shared" si="12"/>
        <v>123387.33036407817</v>
      </c>
      <c r="X14" s="180">
        <f t="shared" si="12"/>
        <v>141014.09184466075</v>
      </c>
      <c r="Y14" s="180">
        <f t="shared" si="12"/>
        <v>141014.09184466075</v>
      </c>
      <c r="Z14" s="180">
        <f t="shared" si="12"/>
        <v>141014.09184466075</v>
      </c>
      <c r="AA14" s="180">
        <f t="shared" si="12"/>
        <v>141014.09184466075</v>
      </c>
      <c r="AB14" s="244">
        <f t="shared" ref="AB14:AB20" si="13">SUM(D14:AA14)</f>
        <v>1762676.1480582594</v>
      </c>
    </row>
    <row r="15" spans="1:32" ht="64.5" customHeight="1" x14ac:dyDescent="0.2">
      <c r="A15" s="246"/>
      <c r="B15" s="248"/>
      <c r="C15" s="250"/>
      <c r="D15" s="152">
        <v>0.01</v>
      </c>
      <c r="E15" s="152">
        <v>0.01</v>
      </c>
      <c r="F15" s="152">
        <v>0.01</v>
      </c>
      <c r="G15" s="152">
        <v>0.01</v>
      </c>
      <c r="H15" s="152">
        <v>0.01</v>
      </c>
      <c r="I15" s="152">
        <v>0.01</v>
      </c>
      <c r="J15" s="152">
        <v>0.01</v>
      </c>
      <c r="K15" s="152">
        <v>0.01</v>
      </c>
      <c r="L15" s="152">
        <v>0.01</v>
      </c>
      <c r="M15" s="152">
        <v>0.01</v>
      </c>
      <c r="N15" s="152">
        <v>0.01</v>
      </c>
      <c r="O15" s="152">
        <v>0.01</v>
      </c>
      <c r="P15" s="152">
        <v>7.0000000000000007E-2</v>
      </c>
      <c r="Q15" s="152">
        <v>7.0000000000000007E-2</v>
      </c>
      <c r="R15" s="152">
        <v>7.0000000000000007E-2</v>
      </c>
      <c r="S15" s="152">
        <v>7.0000000000000007E-2</v>
      </c>
      <c r="T15" s="152">
        <v>7.0000000000000007E-2</v>
      </c>
      <c r="U15" s="152">
        <v>7.0000000000000007E-2</v>
      </c>
      <c r="V15" s="152">
        <v>7.0000000000000007E-2</v>
      </c>
      <c r="W15" s="152">
        <v>7.0000000000000007E-2</v>
      </c>
      <c r="X15" s="152">
        <v>0.08</v>
      </c>
      <c r="Y15" s="152">
        <v>0.08</v>
      </c>
      <c r="Z15" s="152">
        <v>0.08</v>
      </c>
      <c r="AA15" s="152">
        <v>0.08</v>
      </c>
      <c r="AB15" s="245"/>
      <c r="AF15" s="177"/>
    </row>
    <row r="16" spans="1:32" ht="39.75" customHeight="1" thickBot="1" x14ac:dyDescent="0.25">
      <c r="A16" s="246" t="s">
        <v>183</v>
      </c>
      <c r="B16" s="247">
        <f t="shared" ref="B16" si="14">C16/C$22</f>
        <v>8.9202471379987366E-2</v>
      </c>
      <c r="C16" s="257">
        <f>'R6'!J31</f>
        <v>757244.49061455659</v>
      </c>
      <c r="D16" s="180">
        <f>$C$16*D17</f>
        <v>63103.707551213098</v>
      </c>
      <c r="E16" s="180">
        <f t="shared" ref="E16:AA16" si="15">$C$16*E17</f>
        <v>63103.707551213098</v>
      </c>
      <c r="F16" s="180">
        <f t="shared" si="15"/>
        <v>63103.707551213098</v>
      </c>
      <c r="G16" s="180">
        <f t="shared" si="15"/>
        <v>63103.707551213098</v>
      </c>
      <c r="H16" s="180">
        <f t="shared" si="15"/>
        <v>63103.707551213098</v>
      </c>
      <c r="I16" s="180">
        <f t="shared" si="15"/>
        <v>63103.707551213098</v>
      </c>
      <c r="J16" s="180">
        <f t="shared" si="15"/>
        <v>63103.707551213098</v>
      </c>
      <c r="K16" s="180">
        <f t="shared" si="15"/>
        <v>63103.707551213098</v>
      </c>
      <c r="L16" s="180">
        <f t="shared" si="15"/>
        <v>63103.707551213098</v>
      </c>
      <c r="M16" s="180">
        <f t="shared" si="15"/>
        <v>63103.707551213098</v>
      </c>
      <c r="N16" s="180">
        <f t="shared" si="15"/>
        <v>63103.707551213098</v>
      </c>
      <c r="O16" s="180">
        <f t="shared" si="15"/>
        <v>63103.707551213098</v>
      </c>
      <c r="P16" s="180">
        <f t="shared" si="15"/>
        <v>0</v>
      </c>
      <c r="Q16" s="180">
        <f t="shared" si="15"/>
        <v>0</v>
      </c>
      <c r="R16" s="180">
        <f t="shared" si="15"/>
        <v>0</v>
      </c>
      <c r="S16" s="180">
        <f t="shared" si="15"/>
        <v>0</v>
      </c>
      <c r="T16" s="180">
        <f t="shared" si="15"/>
        <v>0</v>
      </c>
      <c r="U16" s="180">
        <f t="shared" si="15"/>
        <v>0</v>
      </c>
      <c r="V16" s="180">
        <f t="shared" si="15"/>
        <v>0</v>
      </c>
      <c r="W16" s="180">
        <f t="shared" si="15"/>
        <v>0</v>
      </c>
      <c r="X16" s="180">
        <f t="shared" si="15"/>
        <v>0</v>
      </c>
      <c r="Y16" s="180">
        <f t="shared" si="15"/>
        <v>0</v>
      </c>
      <c r="Z16" s="180">
        <f t="shared" si="15"/>
        <v>0</v>
      </c>
      <c r="AA16" s="180">
        <f t="shared" si="15"/>
        <v>0</v>
      </c>
      <c r="AB16" s="244">
        <f t="shared" si="13"/>
        <v>757244.49061455717</v>
      </c>
    </row>
    <row r="17" spans="1:28" ht="81" customHeight="1" x14ac:dyDescent="0.2">
      <c r="A17" s="246"/>
      <c r="B17" s="248"/>
      <c r="C17" s="258"/>
      <c r="D17" s="152">
        <f>4.16666666666667%+4.16666666666667%</f>
        <v>8.3333333333333398E-2</v>
      </c>
      <c r="E17" s="152">
        <f t="shared" ref="E17:O17" si="16">4.16666666666667%+4.16666666666667%</f>
        <v>8.3333333333333398E-2</v>
      </c>
      <c r="F17" s="152">
        <f t="shared" si="16"/>
        <v>8.3333333333333398E-2</v>
      </c>
      <c r="G17" s="152">
        <f t="shared" si="16"/>
        <v>8.3333333333333398E-2</v>
      </c>
      <c r="H17" s="152">
        <f t="shared" si="16"/>
        <v>8.3333333333333398E-2</v>
      </c>
      <c r="I17" s="152">
        <f t="shared" si="16"/>
        <v>8.3333333333333398E-2</v>
      </c>
      <c r="J17" s="152">
        <f t="shared" si="16"/>
        <v>8.3333333333333398E-2</v>
      </c>
      <c r="K17" s="152">
        <f t="shared" si="16"/>
        <v>8.3333333333333398E-2</v>
      </c>
      <c r="L17" s="152">
        <f t="shared" si="16"/>
        <v>8.3333333333333398E-2</v>
      </c>
      <c r="M17" s="152">
        <f t="shared" si="16"/>
        <v>8.3333333333333398E-2</v>
      </c>
      <c r="N17" s="152">
        <f t="shared" si="16"/>
        <v>8.3333333333333398E-2</v>
      </c>
      <c r="O17" s="152">
        <f t="shared" si="16"/>
        <v>8.3333333333333398E-2</v>
      </c>
      <c r="P17" s="152"/>
      <c r="Q17" s="152"/>
      <c r="R17" s="152"/>
      <c r="S17" s="152"/>
      <c r="T17" s="152"/>
      <c r="U17" s="152"/>
      <c r="V17" s="172"/>
      <c r="W17" s="172"/>
      <c r="X17" s="172"/>
      <c r="Y17" s="172"/>
      <c r="Z17" s="172"/>
      <c r="AA17" s="172"/>
      <c r="AB17" s="245"/>
    </row>
    <row r="18" spans="1:28" ht="39.75" customHeight="1" thickBot="1" x14ac:dyDescent="0.25">
      <c r="A18" s="246" t="s">
        <v>184</v>
      </c>
      <c r="B18" s="247">
        <f t="shared" ref="B18" si="17">C18/C$22</f>
        <v>7.4483891885526676E-2</v>
      </c>
      <c r="C18" s="249">
        <f>'R7'!J31</f>
        <v>632297.69195048674</v>
      </c>
      <c r="D18" s="180">
        <f>$C$18*D19</f>
        <v>52691.474329207267</v>
      </c>
      <c r="E18" s="180">
        <f t="shared" ref="E18:AA18" si="18">$C$18*E19</f>
        <v>52691.474329207267</v>
      </c>
      <c r="F18" s="180">
        <f t="shared" si="18"/>
        <v>52691.474329207267</v>
      </c>
      <c r="G18" s="180">
        <f t="shared" si="18"/>
        <v>52691.474329207267</v>
      </c>
      <c r="H18" s="180">
        <f t="shared" si="18"/>
        <v>52691.474329207267</v>
      </c>
      <c r="I18" s="180">
        <f t="shared" si="18"/>
        <v>52691.474329207267</v>
      </c>
      <c r="J18" s="180">
        <f t="shared" si="18"/>
        <v>52691.474329207267</v>
      </c>
      <c r="K18" s="180">
        <f t="shared" si="18"/>
        <v>52691.474329207267</v>
      </c>
      <c r="L18" s="180">
        <f t="shared" si="18"/>
        <v>52691.474329207267</v>
      </c>
      <c r="M18" s="180">
        <f t="shared" si="18"/>
        <v>52691.474329207267</v>
      </c>
      <c r="N18" s="180">
        <f t="shared" si="18"/>
        <v>52691.474329207267</v>
      </c>
      <c r="O18" s="180">
        <f t="shared" si="18"/>
        <v>52691.474329207267</v>
      </c>
      <c r="P18" s="180">
        <f t="shared" si="18"/>
        <v>0</v>
      </c>
      <c r="Q18" s="180">
        <f t="shared" si="18"/>
        <v>0</v>
      </c>
      <c r="R18" s="180">
        <f t="shared" si="18"/>
        <v>0</v>
      </c>
      <c r="S18" s="180">
        <f t="shared" si="18"/>
        <v>0</v>
      </c>
      <c r="T18" s="180">
        <f t="shared" si="18"/>
        <v>0</v>
      </c>
      <c r="U18" s="180">
        <f t="shared" si="18"/>
        <v>0</v>
      </c>
      <c r="V18" s="180">
        <f t="shared" si="18"/>
        <v>0</v>
      </c>
      <c r="W18" s="180">
        <f t="shared" si="18"/>
        <v>0</v>
      </c>
      <c r="X18" s="180">
        <f t="shared" si="18"/>
        <v>0</v>
      </c>
      <c r="Y18" s="180">
        <f t="shared" si="18"/>
        <v>0</v>
      </c>
      <c r="Z18" s="180">
        <f t="shared" si="18"/>
        <v>0</v>
      </c>
      <c r="AA18" s="180">
        <f t="shared" si="18"/>
        <v>0</v>
      </c>
      <c r="AB18" s="244">
        <f t="shared" si="13"/>
        <v>632297.69195048721</v>
      </c>
    </row>
    <row r="19" spans="1:28" ht="82.5" customHeight="1" x14ac:dyDescent="0.2">
      <c r="A19" s="246"/>
      <c r="B19" s="248"/>
      <c r="C19" s="250"/>
      <c r="D19" s="152">
        <f t="shared" ref="D19:O19" si="19">4.16666666666667%+4.16666666666667%</f>
        <v>8.3333333333333398E-2</v>
      </c>
      <c r="E19" s="152">
        <f t="shared" si="19"/>
        <v>8.3333333333333398E-2</v>
      </c>
      <c r="F19" s="152">
        <f t="shared" si="19"/>
        <v>8.3333333333333398E-2</v>
      </c>
      <c r="G19" s="152">
        <f t="shared" si="19"/>
        <v>8.3333333333333398E-2</v>
      </c>
      <c r="H19" s="152">
        <f t="shared" si="19"/>
        <v>8.3333333333333398E-2</v>
      </c>
      <c r="I19" s="152">
        <f t="shared" si="19"/>
        <v>8.3333333333333398E-2</v>
      </c>
      <c r="J19" s="152">
        <f t="shared" si="19"/>
        <v>8.3333333333333398E-2</v>
      </c>
      <c r="K19" s="152">
        <f t="shared" si="19"/>
        <v>8.3333333333333398E-2</v>
      </c>
      <c r="L19" s="152">
        <f t="shared" si="19"/>
        <v>8.3333333333333398E-2</v>
      </c>
      <c r="M19" s="152">
        <f t="shared" si="19"/>
        <v>8.3333333333333398E-2</v>
      </c>
      <c r="N19" s="152">
        <f t="shared" si="19"/>
        <v>8.3333333333333398E-2</v>
      </c>
      <c r="O19" s="152">
        <f t="shared" si="19"/>
        <v>8.3333333333333398E-2</v>
      </c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245"/>
    </row>
    <row r="20" spans="1:28" ht="59.25" customHeight="1" thickBot="1" x14ac:dyDescent="0.25">
      <c r="A20" s="259" t="s">
        <v>185</v>
      </c>
      <c r="B20" s="247">
        <f t="shared" ref="B20" si="20">C20/C$22</f>
        <v>0.14896778377105335</v>
      </c>
      <c r="C20" s="257">
        <f>'R8'!J31</f>
        <v>1264595.3839009735</v>
      </c>
      <c r="D20" s="180">
        <f>$C$20*D21</f>
        <v>12645.953839009735</v>
      </c>
      <c r="E20" s="180">
        <f t="shared" ref="E20:AA20" si="21">$C$20*E21</f>
        <v>12645.953839009735</v>
      </c>
      <c r="F20" s="180">
        <f t="shared" si="21"/>
        <v>12645.953839009735</v>
      </c>
      <c r="G20" s="180">
        <f t="shared" si="21"/>
        <v>12645.953839009735</v>
      </c>
      <c r="H20" s="180">
        <f t="shared" si="21"/>
        <v>12645.953839009735</v>
      </c>
      <c r="I20" s="180">
        <f t="shared" si="21"/>
        <v>12645.953839009735</v>
      </c>
      <c r="J20" s="180">
        <f t="shared" si="21"/>
        <v>12645.953839009735</v>
      </c>
      <c r="K20" s="180">
        <f t="shared" si="21"/>
        <v>12645.953839009735</v>
      </c>
      <c r="L20" s="180">
        <f t="shared" si="21"/>
        <v>12645.953839009735</v>
      </c>
      <c r="M20" s="180">
        <f t="shared" si="21"/>
        <v>12645.953839009735</v>
      </c>
      <c r="N20" s="180">
        <f t="shared" si="21"/>
        <v>12645.953839009735</v>
      </c>
      <c r="O20" s="180">
        <f t="shared" si="21"/>
        <v>12645.953839009735</v>
      </c>
      <c r="P20" s="180">
        <f t="shared" si="21"/>
        <v>88521.676873068151</v>
      </c>
      <c r="Q20" s="180">
        <f t="shared" si="21"/>
        <v>88521.676873068151</v>
      </c>
      <c r="R20" s="180">
        <f t="shared" si="21"/>
        <v>88521.676873068151</v>
      </c>
      <c r="S20" s="180">
        <f t="shared" si="21"/>
        <v>88521.676873068151</v>
      </c>
      <c r="T20" s="180">
        <f t="shared" si="21"/>
        <v>88521.676873068151</v>
      </c>
      <c r="U20" s="180">
        <f t="shared" si="21"/>
        <v>88521.676873068151</v>
      </c>
      <c r="V20" s="180">
        <f t="shared" si="21"/>
        <v>88521.676873068151</v>
      </c>
      <c r="W20" s="180">
        <f t="shared" si="21"/>
        <v>88521.676873068151</v>
      </c>
      <c r="X20" s="180">
        <f t="shared" si="21"/>
        <v>101167.63071207788</v>
      </c>
      <c r="Y20" s="180">
        <f t="shared" si="21"/>
        <v>101167.63071207788</v>
      </c>
      <c r="Z20" s="180">
        <f t="shared" si="21"/>
        <v>101167.63071207788</v>
      </c>
      <c r="AA20" s="180">
        <f t="shared" si="21"/>
        <v>101167.63071207788</v>
      </c>
      <c r="AB20" s="244">
        <f t="shared" si="13"/>
        <v>1264595.3839009735</v>
      </c>
    </row>
    <row r="21" spans="1:28" ht="64.5" customHeight="1" x14ac:dyDescent="0.2">
      <c r="A21" s="259"/>
      <c r="B21" s="248"/>
      <c r="C21" s="258"/>
      <c r="D21" s="152">
        <v>0.01</v>
      </c>
      <c r="E21" s="152">
        <v>0.01</v>
      </c>
      <c r="F21" s="152">
        <v>0.01</v>
      </c>
      <c r="G21" s="152">
        <v>0.01</v>
      </c>
      <c r="H21" s="152">
        <v>0.01</v>
      </c>
      <c r="I21" s="152">
        <v>0.01</v>
      </c>
      <c r="J21" s="152">
        <v>0.01</v>
      </c>
      <c r="K21" s="152">
        <v>0.01</v>
      </c>
      <c r="L21" s="152">
        <v>0.01</v>
      </c>
      <c r="M21" s="152">
        <v>0.01</v>
      </c>
      <c r="N21" s="152">
        <v>0.01</v>
      </c>
      <c r="O21" s="152">
        <v>0.01</v>
      </c>
      <c r="P21" s="152">
        <v>7.0000000000000007E-2</v>
      </c>
      <c r="Q21" s="152">
        <v>7.0000000000000007E-2</v>
      </c>
      <c r="R21" s="152">
        <v>7.0000000000000007E-2</v>
      </c>
      <c r="S21" s="152">
        <v>7.0000000000000007E-2</v>
      </c>
      <c r="T21" s="152">
        <v>7.0000000000000007E-2</v>
      </c>
      <c r="U21" s="152">
        <v>7.0000000000000007E-2</v>
      </c>
      <c r="V21" s="152">
        <v>7.0000000000000007E-2</v>
      </c>
      <c r="W21" s="152">
        <v>7.0000000000000007E-2</v>
      </c>
      <c r="X21" s="152">
        <v>0.08</v>
      </c>
      <c r="Y21" s="152">
        <v>0.08</v>
      </c>
      <c r="Z21" s="152">
        <v>0.08</v>
      </c>
      <c r="AA21" s="152">
        <v>0.08</v>
      </c>
      <c r="AB21" s="245"/>
    </row>
    <row r="22" spans="1:28" ht="27" customHeight="1" x14ac:dyDescent="0.2">
      <c r="A22" s="251" t="s">
        <v>169</v>
      </c>
      <c r="B22" s="252"/>
      <c r="C22" s="253">
        <f>SUM(C6:C21)</f>
        <v>8489052.8132211026</v>
      </c>
      <c r="D22" s="153">
        <f>D6+D8+D10+D12+D14+D16+D18+D20</f>
        <v>236138.51903431298</v>
      </c>
      <c r="E22" s="153">
        <f t="shared" ref="E22:AA22" si="22">E6+E8+E10+E12+E14+E16+E18+E20</f>
        <v>236138.51903431298</v>
      </c>
      <c r="F22" s="153">
        <f t="shared" si="22"/>
        <v>236138.51903431298</v>
      </c>
      <c r="G22" s="153">
        <f t="shared" si="22"/>
        <v>236138.51903431298</v>
      </c>
      <c r="H22" s="153">
        <f t="shared" si="22"/>
        <v>236138.51903431298</v>
      </c>
      <c r="I22" s="153">
        <f t="shared" si="22"/>
        <v>236138.51903431298</v>
      </c>
      <c r="J22" s="153">
        <f t="shared" si="22"/>
        <v>231712.7120209136</v>
      </c>
      <c r="K22" s="153">
        <f t="shared" si="22"/>
        <v>228518.03154857384</v>
      </c>
      <c r="L22" s="153">
        <f t="shared" si="22"/>
        <v>222266.74362926703</v>
      </c>
      <c r="M22" s="153">
        <f t="shared" si="22"/>
        <v>222266.74362926703</v>
      </c>
      <c r="N22" s="153">
        <f t="shared" si="22"/>
        <v>222266.74362926703</v>
      </c>
      <c r="O22" s="153">
        <f t="shared" si="22"/>
        <v>217898.32612769576</v>
      </c>
      <c r="P22" s="153">
        <f t="shared" si="22"/>
        <v>524019.9029593952</v>
      </c>
      <c r="Q22" s="153">
        <f t="shared" si="22"/>
        <v>500246.64014314493</v>
      </c>
      <c r="R22" s="153">
        <f t="shared" si="22"/>
        <v>502346.50441313331</v>
      </c>
      <c r="S22" s="153">
        <f t="shared" si="22"/>
        <v>489409.94087001402</v>
      </c>
      <c r="T22" s="153">
        <f t="shared" si="22"/>
        <v>446063.14377749024</v>
      </c>
      <c r="U22" s="153">
        <f t="shared" si="22"/>
        <v>446063.14377749024</v>
      </c>
      <c r="V22" s="153">
        <f t="shared" si="22"/>
        <v>467736.54232375213</v>
      </c>
      <c r="W22" s="153">
        <f t="shared" si="22"/>
        <v>446063.14377749024</v>
      </c>
      <c r="X22" s="153">
        <f t="shared" si="22"/>
        <v>476335.85909708258</v>
      </c>
      <c r="Y22" s="153">
        <f t="shared" si="22"/>
        <v>476335.85909708258</v>
      </c>
      <c r="Z22" s="153">
        <f t="shared" si="22"/>
        <v>476335.85909708258</v>
      </c>
      <c r="AA22" s="153">
        <f t="shared" si="22"/>
        <v>476335.85909708258</v>
      </c>
      <c r="AB22" s="154">
        <f>SUM(AB6:AB21)</f>
        <v>8489052.8132211044</v>
      </c>
    </row>
    <row r="23" spans="1:28" ht="28.5" customHeight="1" thickBot="1" x14ac:dyDescent="0.25">
      <c r="A23" s="255" t="s">
        <v>140</v>
      </c>
      <c r="B23" s="256"/>
      <c r="C23" s="254"/>
      <c r="D23" s="155">
        <f>D22</f>
        <v>236138.51903431298</v>
      </c>
      <c r="E23" s="156">
        <f>E22+D23</f>
        <v>472277.03806862596</v>
      </c>
      <c r="F23" s="156">
        <f t="shared" ref="F23:AA23" si="23">F22+E23</f>
        <v>708415.55710293888</v>
      </c>
      <c r="G23" s="156">
        <f t="shared" si="23"/>
        <v>944554.07613725192</v>
      </c>
      <c r="H23" s="156">
        <f t="shared" si="23"/>
        <v>1180692.595171565</v>
      </c>
      <c r="I23" s="156">
        <f t="shared" si="23"/>
        <v>1416831.114205878</v>
      </c>
      <c r="J23" s="156">
        <f t="shared" si="23"/>
        <v>1648543.8262267916</v>
      </c>
      <c r="K23" s="156">
        <f t="shared" si="23"/>
        <v>1877061.8577753655</v>
      </c>
      <c r="L23" s="156">
        <f t="shared" si="23"/>
        <v>2099328.6014046324</v>
      </c>
      <c r="M23" s="156">
        <f t="shared" si="23"/>
        <v>2321595.3450338994</v>
      </c>
      <c r="N23" s="156">
        <f t="shared" si="23"/>
        <v>2543862.0886631664</v>
      </c>
      <c r="O23" s="156">
        <f t="shared" si="23"/>
        <v>2761760.4147908622</v>
      </c>
      <c r="P23" s="156">
        <f t="shared" si="23"/>
        <v>3285780.3177502574</v>
      </c>
      <c r="Q23" s="156">
        <f t="shared" si="23"/>
        <v>3786026.9578934023</v>
      </c>
      <c r="R23" s="156">
        <f t="shared" si="23"/>
        <v>4288373.4623065358</v>
      </c>
      <c r="S23" s="156">
        <f t="shared" si="23"/>
        <v>4777783.4031765498</v>
      </c>
      <c r="T23" s="156">
        <f t="shared" si="23"/>
        <v>5223846.5469540404</v>
      </c>
      <c r="U23" s="156">
        <f t="shared" si="23"/>
        <v>5669909.690731531</v>
      </c>
      <c r="V23" s="156">
        <f t="shared" si="23"/>
        <v>6137646.2330552833</v>
      </c>
      <c r="W23" s="156">
        <f t="shared" si="23"/>
        <v>6583709.3768327739</v>
      </c>
      <c r="X23" s="156">
        <f t="shared" si="23"/>
        <v>7060045.2359298561</v>
      </c>
      <c r="Y23" s="156">
        <f t="shared" si="23"/>
        <v>7536381.0950269382</v>
      </c>
      <c r="Z23" s="156">
        <f t="shared" si="23"/>
        <v>8012716.9541240204</v>
      </c>
      <c r="AA23" s="156">
        <f t="shared" si="23"/>
        <v>8489052.8132211026</v>
      </c>
      <c r="AB23" s="157">
        <f>AA23</f>
        <v>8489052.8132211026</v>
      </c>
    </row>
    <row r="25" spans="1:28" x14ac:dyDescent="0.2">
      <c r="AB25" s="159"/>
    </row>
    <row r="26" spans="1:28" x14ac:dyDescent="0.2">
      <c r="B26" s="160"/>
      <c r="D26" s="159"/>
      <c r="O26" s="159"/>
      <c r="AB26" s="174"/>
    </row>
    <row r="27" spans="1:28" hidden="1" x14ac:dyDescent="0.2">
      <c r="C27" s="171">
        <f>'R1 '!J31+'R2'!J31+'R3'!J31+'R4'!J31+'R5'!J31+'R6'!J31+'R7'!J31+'R8'!J31</f>
        <v>8489052.8132211026</v>
      </c>
      <c r="AB27" s="175">
        <f>AB26-AB23</f>
        <v>-8489052.8132211026</v>
      </c>
    </row>
    <row r="28" spans="1:28" x14ac:dyDescent="0.2">
      <c r="D28" s="173"/>
      <c r="O28" s="189"/>
      <c r="P28" s="183"/>
    </row>
    <row r="30" spans="1:28" x14ac:dyDescent="0.2">
      <c r="B30" s="162"/>
      <c r="C30" s="151"/>
      <c r="O30" s="181"/>
      <c r="P30" s="189"/>
      <c r="Q30" s="181"/>
    </row>
    <row r="31" spans="1:28" x14ac:dyDescent="0.2">
      <c r="B31" s="162"/>
      <c r="C31" s="151"/>
      <c r="D31" s="182"/>
    </row>
    <row r="32" spans="1:28" x14ac:dyDescent="0.2">
      <c r="B32" s="162"/>
      <c r="C32" s="151"/>
    </row>
  </sheetData>
  <mergeCells count="42">
    <mergeCell ref="B1:AB1"/>
    <mergeCell ref="B2:AB2"/>
    <mergeCell ref="A3:AB3"/>
    <mergeCell ref="A4:A5"/>
    <mergeCell ref="B4:B5"/>
    <mergeCell ref="C4:C5"/>
    <mergeCell ref="D4:AB4"/>
    <mergeCell ref="A6:A7"/>
    <mergeCell ref="B6:B7"/>
    <mergeCell ref="C6:C7"/>
    <mergeCell ref="AB6:AB7"/>
    <mergeCell ref="A8:A9"/>
    <mergeCell ref="B8:B9"/>
    <mergeCell ref="C8:C9"/>
    <mergeCell ref="AB8:AB9"/>
    <mergeCell ref="A10:A11"/>
    <mergeCell ref="B10:B11"/>
    <mergeCell ref="C10:C11"/>
    <mergeCell ref="AB10:AB11"/>
    <mergeCell ref="A12:A13"/>
    <mergeCell ref="B12:B13"/>
    <mergeCell ref="C12:C13"/>
    <mergeCell ref="AB12:AB13"/>
    <mergeCell ref="A22:B22"/>
    <mergeCell ref="C22:C23"/>
    <mergeCell ref="A23:B23"/>
    <mergeCell ref="A16:A17"/>
    <mergeCell ref="B16:B17"/>
    <mergeCell ref="C16:C17"/>
    <mergeCell ref="A18:A19"/>
    <mergeCell ref="B18:B19"/>
    <mergeCell ref="A20:A21"/>
    <mergeCell ref="B20:B21"/>
    <mergeCell ref="C18:C19"/>
    <mergeCell ref="C20:C21"/>
    <mergeCell ref="AB16:AB17"/>
    <mergeCell ref="AB18:AB19"/>
    <mergeCell ref="AB20:AB21"/>
    <mergeCell ref="A14:A15"/>
    <mergeCell ref="B14:B15"/>
    <mergeCell ref="C14:C15"/>
    <mergeCell ref="AB14:AB15"/>
  </mergeCells>
  <pageMargins left="0.51181102362204722" right="0.51181102362204722" top="0.78740157480314965" bottom="0.78740157480314965" header="0.31496062992125984" footer="0.31496062992125984"/>
  <pageSetup paperSize="9" scale="5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36E3-E3B7-4F74-A68E-76253EA4822D}">
  <sheetPr>
    <pageSetUpPr fitToPage="1"/>
  </sheetPr>
  <dimension ref="A1:L37"/>
  <sheetViews>
    <sheetView showGridLines="0" topLeftCell="B1" zoomScale="80" zoomScaleNormal="80" zoomScaleSheetLayoutView="70" workbookViewId="0">
      <selection activeCell="B5" sqref="B5:D5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customWidth="1"/>
    <col min="14" max="14" width="20.140625" style="94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2" ht="65.099999999999994" customHeight="1" thickBot="1" x14ac:dyDescent="0.3">
      <c r="A1" s="7"/>
      <c r="B1" s="214" t="s">
        <v>179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2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2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2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2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2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2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2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2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2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2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2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352*0.1*(F7/2)</f>
        <v>422.40000000000003</v>
      </c>
      <c r="G12" s="108">
        <v>73.31</v>
      </c>
      <c r="H12" s="73">
        <f>F12*G12</f>
        <v>30966.144000000004</v>
      </c>
      <c r="I12" s="108">
        <f t="shared" ref="I12:I16" si="0">$J$4</f>
        <v>2.4332631780821918</v>
      </c>
      <c r="J12" s="107">
        <f t="shared" ref="J12:J16" si="1">H12*I12</f>
        <v>75348.777962390799</v>
      </c>
      <c r="K12" s="77">
        <v>0.5</v>
      </c>
      <c r="L12" s="141">
        <v>17866.689999999999</v>
      </c>
    </row>
    <row r="13" spans="1:12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352*0.1*(F7/2)</f>
        <v>422.40000000000003</v>
      </c>
      <c r="G13" s="108">
        <v>73.31</v>
      </c>
      <c r="H13" s="73">
        <f t="shared" ref="H13:H16" si="2">F13*G13</f>
        <v>30966.144000000004</v>
      </c>
      <c r="I13" s="108">
        <f t="shared" si="0"/>
        <v>2.4332631780821918</v>
      </c>
      <c r="J13" s="107">
        <f t="shared" si="1"/>
        <v>75348.777962390799</v>
      </c>
      <c r="K13" s="77">
        <v>3</v>
      </c>
      <c r="L13" s="141">
        <v>15564.54</v>
      </c>
    </row>
    <row r="14" spans="1:12" ht="63.75" customHeight="1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2112*0.1*(F7/2)</f>
        <v>2534.4</v>
      </c>
      <c r="G14" s="108">
        <v>37.26</v>
      </c>
      <c r="H14" s="73">
        <f t="shared" si="2"/>
        <v>94431.743999999992</v>
      </c>
      <c r="I14" s="108">
        <f t="shared" si="0"/>
        <v>2.4332631780821918</v>
      </c>
      <c r="J14" s="107">
        <f t="shared" si="1"/>
        <v>229777.28551728392</v>
      </c>
      <c r="K14" s="77">
        <v>3</v>
      </c>
      <c r="L14" s="141">
        <v>12379.96</v>
      </c>
    </row>
    <row r="15" spans="1:12" ht="63.75" customHeight="1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2112*0.1*(F7/2)</f>
        <v>2534.4</v>
      </c>
      <c r="G15" s="108">
        <v>44.9</v>
      </c>
      <c r="H15" s="73">
        <f t="shared" si="2"/>
        <v>113794.56</v>
      </c>
      <c r="I15" s="108">
        <f t="shared" si="0"/>
        <v>2.4332631780821918</v>
      </c>
      <c r="J15" s="107">
        <f t="shared" si="1"/>
        <v>276892.11271406466</v>
      </c>
      <c r="K15" s="77">
        <v>3</v>
      </c>
      <c r="L15" s="141">
        <v>12379.96</v>
      </c>
    </row>
    <row r="16" spans="1:12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704*0.1*(F7/2)</f>
        <v>844.80000000000007</v>
      </c>
      <c r="G16" s="108">
        <v>38.39</v>
      </c>
      <c r="H16" s="73">
        <f t="shared" si="2"/>
        <v>32431.872000000003</v>
      </c>
      <c r="I16" s="108">
        <f t="shared" si="0"/>
        <v>2.4332631780821918</v>
      </c>
      <c r="J16" s="107">
        <f t="shared" si="1"/>
        <v>78915.279933874859</v>
      </c>
      <c r="K16" s="77">
        <v>3</v>
      </c>
      <c r="L16" s="141">
        <v>12379.96</v>
      </c>
    </row>
    <row r="17" spans="1:12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</row>
    <row r="18" spans="1:12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1760*0.1*(F7/2)+98.05</f>
        <v>2210.0500000000002</v>
      </c>
      <c r="G18" s="108">
        <v>17.72</v>
      </c>
      <c r="H18" s="73">
        <f t="shared" ref="H18" si="3">F18*G18</f>
        <v>39162.086000000003</v>
      </c>
      <c r="I18" s="108">
        <f t="shared" ref="I18" si="4">$J$4</f>
        <v>2.4332631780821918</v>
      </c>
      <c r="J18" s="107">
        <f t="shared" ref="J18" si="5">H18*I18</f>
        <v>95291.661840688117</v>
      </c>
      <c r="K18" s="77">
        <v>3</v>
      </c>
      <c r="L18" s="140">
        <v>35.69</v>
      </c>
    </row>
    <row r="19" spans="1:12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831573.89593069314</v>
      </c>
      <c r="K19" s="85"/>
      <c r="L19" s="134"/>
    </row>
    <row r="20" spans="1:12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</row>
    <row r="21" spans="1:12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</row>
    <row r="22" spans="1:12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</row>
    <row r="23" spans="1:12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</row>
    <row r="24" spans="1:12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160</v>
      </c>
      <c r="E24" s="5" t="s">
        <v>25</v>
      </c>
      <c r="F24" s="111">
        <v>7</v>
      </c>
      <c r="G24" s="190">
        <v>4090</v>
      </c>
      <c r="H24" s="191"/>
      <c r="I24" s="106">
        <f>$J$6</f>
        <v>1.2328767123287672</v>
      </c>
      <c r="J24" s="107">
        <f>F24*G24*I24</f>
        <v>35297.260273972606</v>
      </c>
      <c r="K24" s="77">
        <v>0.5</v>
      </c>
      <c r="L24" s="140">
        <v>6804</v>
      </c>
    </row>
    <row r="25" spans="1:12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35297.260273972606</v>
      </c>
      <c r="K25" s="85"/>
      <c r="L25" s="134"/>
    </row>
    <row r="26" spans="1:12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</row>
    <row r="27" spans="1:12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v>14.4</v>
      </c>
      <c r="G27" s="190">
        <v>222.43</v>
      </c>
      <c r="H27" s="191"/>
      <c r="I27" s="108">
        <f>$J$6</f>
        <v>1.2328767123287672</v>
      </c>
      <c r="J27" s="109">
        <f>F27*G27*I27</f>
        <v>3948.894246575343</v>
      </c>
      <c r="K27" s="86">
        <f>1*10*3</f>
        <v>30</v>
      </c>
      <c r="L27" s="140">
        <v>222.43</v>
      </c>
    </row>
    <row r="28" spans="1:12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v>14.4</v>
      </c>
      <c r="G28" s="190">
        <v>161.29</v>
      </c>
      <c r="H28" s="191"/>
      <c r="I28" s="108">
        <f>$J$6</f>
        <v>1.2328767123287672</v>
      </c>
      <c r="J28" s="109">
        <f>F28*G28*I28</f>
        <v>2863.4498630136986</v>
      </c>
      <c r="K28" s="86">
        <f>5*1*3</f>
        <v>15</v>
      </c>
      <c r="L28" s="140">
        <v>161.29</v>
      </c>
    </row>
    <row r="29" spans="1:12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6812.3441095890412</v>
      </c>
      <c r="K29" s="87"/>
      <c r="L29" s="134"/>
    </row>
    <row r="30" spans="1:12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42109.604383561644</v>
      </c>
      <c r="K30" s="88"/>
      <c r="L30" s="134"/>
    </row>
    <row r="31" spans="1:12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873683.50031425478</v>
      </c>
      <c r="K31" s="89"/>
      <c r="L31" s="134"/>
    </row>
    <row r="32" spans="1:12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1" x14ac:dyDescent="0.25">
      <c r="A33" s="95"/>
    </row>
    <row r="35" spans="1:11" x14ac:dyDescent="0.25">
      <c r="J35" s="113"/>
      <c r="K35" s="96"/>
    </row>
    <row r="37" spans="1:11" x14ac:dyDescent="0.25">
      <c r="H37" s="113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E418-4FEF-41C4-A1BE-46B210C555A1}">
  <sheetPr>
    <pageSetUpPr fitToPage="1"/>
  </sheetPr>
  <dimension ref="A1:M37"/>
  <sheetViews>
    <sheetView showGridLines="0" topLeftCell="B1" zoomScale="80" zoomScaleNormal="80" zoomScaleSheetLayoutView="70" workbookViewId="0">
      <selection activeCell="B1" sqref="B1:J1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hidden="1" customWidth="1"/>
    <col min="14" max="14" width="20.140625" style="94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3" ht="65.099999999999994" customHeight="1" thickBot="1" x14ac:dyDescent="0.3">
      <c r="A1" s="7"/>
      <c r="B1" s="214" t="s">
        <v>180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3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3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3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3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3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3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3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3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3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3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3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352*0.1*(F7/2)+211.2</f>
        <v>633.6</v>
      </c>
      <c r="G12" s="108">
        <v>73.31</v>
      </c>
      <c r="H12" s="73">
        <f>F12*G12</f>
        <v>46449.216</v>
      </c>
      <c r="I12" s="108">
        <f t="shared" ref="I12:I16" si="0">$J$4</f>
        <v>2.4332631780821918</v>
      </c>
      <c r="J12" s="107">
        <f t="shared" ref="J12:J16" si="1">H12*I12</f>
        <v>113023.1669435862</v>
      </c>
      <c r="K12" s="77">
        <v>0.5</v>
      </c>
      <c r="L12" s="141">
        <v>17866.689999999999</v>
      </c>
      <c r="M12" s="186">
        <v>211.20000000000002</v>
      </c>
    </row>
    <row r="13" spans="1:13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352*0.1*(F7/2)+211.2</f>
        <v>633.6</v>
      </c>
      <c r="G13" s="108">
        <v>73.31</v>
      </c>
      <c r="H13" s="73">
        <f t="shared" ref="H13:H16" si="2">F13*G13</f>
        <v>46449.216</v>
      </c>
      <c r="I13" s="108">
        <f t="shared" si="0"/>
        <v>2.4332631780821918</v>
      </c>
      <c r="J13" s="107">
        <f t="shared" si="1"/>
        <v>113023.1669435862</v>
      </c>
      <c r="K13" s="77">
        <v>3</v>
      </c>
      <c r="L13" s="141">
        <v>15564.54</v>
      </c>
      <c r="M13" s="186">
        <v>211.20000000000002</v>
      </c>
    </row>
    <row r="14" spans="1:13" ht="50.25" customHeight="1" x14ac:dyDescent="0.25">
      <c r="A14" s="90" t="s">
        <v>135</v>
      </c>
      <c r="B14" s="6" t="s">
        <v>40</v>
      </c>
      <c r="C14" s="6" t="s">
        <v>156</v>
      </c>
      <c r="D14" s="142" t="s">
        <v>151</v>
      </c>
      <c r="E14" s="93" t="s">
        <v>13</v>
      </c>
      <c r="F14" s="105">
        <f>2112*0.1*(F7/2)+1267.2</f>
        <v>3801.6000000000004</v>
      </c>
      <c r="G14" s="108">
        <v>37.26</v>
      </c>
      <c r="H14" s="73">
        <f t="shared" si="2"/>
        <v>141647.61600000001</v>
      </c>
      <c r="I14" s="108">
        <f t="shared" si="0"/>
        <v>2.4332631780821918</v>
      </c>
      <c r="J14" s="107">
        <f t="shared" si="1"/>
        <v>344665.92827592592</v>
      </c>
      <c r="K14" s="77">
        <v>3</v>
      </c>
      <c r="L14" s="141">
        <v>12379.96</v>
      </c>
      <c r="M14" s="186">
        <v>1267.2</v>
      </c>
    </row>
    <row r="15" spans="1:13" ht="56.25" customHeight="1" x14ac:dyDescent="0.25">
      <c r="A15" s="90" t="s">
        <v>136</v>
      </c>
      <c r="B15" s="6" t="s">
        <v>40</v>
      </c>
      <c r="C15" s="6" t="s">
        <v>155</v>
      </c>
      <c r="D15" s="142" t="s">
        <v>152</v>
      </c>
      <c r="E15" s="93" t="s">
        <v>13</v>
      </c>
      <c r="F15" s="105">
        <f>2112*0.1*(F7/2)+1267.2</f>
        <v>3801.6000000000004</v>
      </c>
      <c r="G15" s="108">
        <v>44.9</v>
      </c>
      <c r="H15" s="73">
        <f t="shared" si="2"/>
        <v>170691.84</v>
      </c>
      <c r="I15" s="108">
        <f t="shared" si="0"/>
        <v>2.4332631780821918</v>
      </c>
      <c r="J15" s="107">
        <f t="shared" si="1"/>
        <v>415338.16907109699</v>
      </c>
      <c r="K15" s="77">
        <v>3</v>
      </c>
      <c r="L15" s="141">
        <v>12379.96</v>
      </c>
      <c r="M15" s="186">
        <v>1267.2</v>
      </c>
    </row>
    <row r="16" spans="1:13" ht="78.75" x14ac:dyDescent="0.25">
      <c r="A16" s="90" t="s">
        <v>137</v>
      </c>
      <c r="B16" s="6" t="s">
        <v>40</v>
      </c>
      <c r="C16" s="6" t="s">
        <v>157</v>
      </c>
      <c r="D16" s="142" t="s">
        <v>153</v>
      </c>
      <c r="E16" s="93" t="s">
        <v>13</v>
      </c>
      <c r="F16" s="105">
        <f>704*0.1*(F7/2)+422.4</f>
        <v>1267.2</v>
      </c>
      <c r="G16" s="108">
        <v>38.39</v>
      </c>
      <c r="H16" s="73">
        <f t="shared" si="2"/>
        <v>48647.808000000005</v>
      </c>
      <c r="I16" s="108">
        <f t="shared" si="0"/>
        <v>2.4332631780821918</v>
      </c>
      <c r="J16" s="107">
        <f t="shared" si="1"/>
        <v>118372.91990081228</v>
      </c>
      <c r="K16" s="77">
        <v>3</v>
      </c>
      <c r="L16" s="141">
        <v>12379.96</v>
      </c>
      <c r="M16" s="186">
        <v>422.40000000000003</v>
      </c>
    </row>
    <row r="17" spans="1:13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  <c r="M17" s="186">
        <v>0</v>
      </c>
    </row>
    <row r="18" spans="1:13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1760*0.1*(F7/2)+1056</f>
        <v>3168</v>
      </c>
      <c r="G18" s="108">
        <v>17.72</v>
      </c>
      <c r="H18" s="73">
        <f t="shared" ref="H18" si="3">F18*G18</f>
        <v>56136.959999999999</v>
      </c>
      <c r="I18" s="108">
        <f t="shared" ref="I18" si="4">$J$4</f>
        <v>2.4332631780821918</v>
      </c>
      <c r="J18" s="107">
        <f t="shared" ref="J18" si="5">H18*I18</f>
        <v>136595.99769747286</v>
      </c>
      <c r="K18" s="77">
        <v>3</v>
      </c>
      <c r="L18" s="140">
        <v>35.69</v>
      </c>
      <c r="M18" s="186">
        <v>1056</v>
      </c>
    </row>
    <row r="19" spans="1:13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1241019.3488324804</v>
      </c>
      <c r="K19" s="85"/>
      <c r="L19" s="134"/>
      <c r="M19" s="186">
        <v>0</v>
      </c>
    </row>
    <row r="20" spans="1:13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  <c r="M20" s="186">
        <v>0</v>
      </c>
    </row>
    <row r="21" spans="1:13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  <c r="M21" s="186">
        <v>0</v>
      </c>
    </row>
    <row r="22" spans="1:13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  <c r="M22" s="186">
        <v>0</v>
      </c>
    </row>
    <row r="23" spans="1:13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  <c r="M23" s="186">
        <v>0</v>
      </c>
    </row>
    <row r="24" spans="1:13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44" t="s">
        <v>160</v>
      </c>
      <c r="E24" s="5" t="s">
        <v>25</v>
      </c>
      <c r="F24" s="111">
        <f>7+1.75</f>
        <v>8.75</v>
      </c>
      <c r="G24" s="190">
        <v>4090</v>
      </c>
      <c r="H24" s="191"/>
      <c r="I24" s="108">
        <f>$J$6</f>
        <v>1.2328767123287672</v>
      </c>
      <c r="J24" s="107">
        <f>F24*G24*I24</f>
        <v>44121.575342465752</v>
      </c>
      <c r="K24" s="77">
        <v>0.5</v>
      </c>
      <c r="L24" s="140">
        <v>6804</v>
      </c>
      <c r="M24" s="187">
        <v>1.75</v>
      </c>
    </row>
    <row r="25" spans="1:13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44121.575342465752</v>
      </c>
      <c r="K25" s="85"/>
      <c r="L25" s="134"/>
      <c r="M25" s="186">
        <v>0</v>
      </c>
    </row>
    <row r="26" spans="1:13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  <c r="M26" s="186">
        <v>0</v>
      </c>
    </row>
    <row r="27" spans="1:13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14.4+3.6</f>
        <v>18</v>
      </c>
      <c r="G27" s="190">
        <v>222.43</v>
      </c>
      <c r="H27" s="191"/>
      <c r="I27" s="108">
        <f>$J$6</f>
        <v>1.2328767123287672</v>
      </c>
      <c r="J27" s="109">
        <f>F27*G27*I27</f>
        <v>4936.1178082191782</v>
      </c>
      <c r="K27" s="86">
        <f>1*10*3</f>
        <v>30</v>
      </c>
      <c r="L27" s="140">
        <v>222.43</v>
      </c>
      <c r="M27" s="186">
        <v>3.6</v>
      </c>
    </row>
    <row r="28" spans="1:13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14.4+3.6</f>
        <v>18</v>
      </c>
      <c r="G28" s="190">
        <v>161.29</v>
      </c>
      <c r="H28" s="191"/>
      <c r="I28" s="108">
        <f>$J$6</f>
        <v>1.2328767123287672</v>
      </c>
      <c r="J28" s="109">
        <f>F28*G28*I28</f>
        <v>3579.3123287671233</v>
      </c>
      <c r="K28" s="86">
        <f>5*1*3</f>
        <v>15</v>
      </c>
      <c r="L28" s="140">
        <v>161.29</v>
      </c>
      <c r="M28" s="186">
        <v>3.6</v>
      </c>
    </row>
    <row r="29" spans="1:13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8515.4301369863024</v>
      </c>
      <c r="K29" s="87"/>
      <c r="L29" s="134"/>
    </row>
    <row r="30" spans="1:13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52637.005479452055</v>
      </c>
      <c r="K30" s="88"/>
      <c r="L30" s="134"/>
    </row>
    <row r="31" spans="1:13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1293656.3543119323</v>
      </c>
      <c r="K31" s="89"/>
      <c r="L31" s="134"/>
    </row>
    <row r="32" spans="1:13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1" x14ac:dyDescent="0.25">
      <c r="A33" s="95"/>
    </row>
    <row r="35" spans="1:11" x14ac:dyDescent="0.25">
      <c r="J35" s="113"/>
      <c r="K35" s="96"/>
    </row>
    <row r="37" spans="1:11" x14ac:dyDescent="0.25">
      <c r="H37" s="113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J8:J9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3:H23"/>
    <mergeCell ref="J20:J21"/>
    <mergeCell ref="G22:H22"/>
    <mergeCell ref="A20:A21"/>
    <mergeCell ref="B20:B21"/>
    <mergeCell ref="C20:C21"/>
    <mergeCell ref="D20:D21"/>
    <mergeCell ref="F20:F21"/>
    <mergeCell ref="G20:H21"/>
    <mergeCell ref="I20:I21"/>
    <mergeCell ref="A30:I30"/>
    <mergeCell ref="A31:I31"/>
    <mergeCell ref="G24:H24"/>
    <mergeCell ref="A25:I25"/>
    <mergeCell ref="G26:H26"/>
    <mergeCell ref="G27:H27"/>
    <mergeCell ref="G28:H28"/>
    <mergeCell ref="A29:I29"/>
  </mergeCells>
  <phoneticPr fontId="17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ignoredErrors>
    <ignoredError sqref="A19:I19 A20:I21 B25:I25 B24 H24:I24 A12 I12 A17:E17 G17:I17 A31:I35 G27:I28 H18:I18 E12 A13 E13 A14 E14 A15 E15 A16 E16 H13:I13 H14:I14 H15:I15 H16:I16 A18:B18 E18 B22:I22 E24 D27:E27 D28:E28 B23:I23 B26:I26 B29:I29 B30:I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93DC-1463-4946-84CA-18C3B768AD12}">
  <sheetPr>
    <pageSetUpPr fitToPage="1"/>
  </sheetPr>
  <dimension ref="A1:N37"/>
  <sheetViews>
    <sheetView showGridLines="0" view="pageBreakPreview" topLeftCell="B1" zoomScale="70" zoomScaleNormal="80" zoomScaleSheetLayoutView="70" workbookViewId="0">
      <selection activeCell="B1" sqref="B1:J1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hidden="1" customWidth="1"/>
    <col min="14" max="14" width="20.140625" style="94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4" ht="65.099999999999994" customHeight="1" thickBot="1" x14ac:dyDescent="0.3">
      <c r="A1" s="7"/>
      <c r="B1" s="214" t="s">
        <v>178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4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4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4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4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4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4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4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4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4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4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4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((352*0.2*(F7/2))/2)+316.8</f>
        <v>739.2</v>
      </c>
      <c r="G12" s="108">
        <v>73.31</v>
      </c>
      <c r="H12" s="73">
        <f>F12*G12</f>
        <v>54190.752000000008</v>
      </c>
      <c r="I12" s="108">
        <f t="shared" ref="I12:I16" si="0">$J$4</f>
        <v>2.4332631780821918</v>
      </c>
      <c r="J12" s="107">
        <f t="shared" ref="J12:J16" si="1">H12*I12</f>
        <v>131860.3614341839</v>
      </c>
      <c r="K12" s="77">
        <v>0.5</v>
      </c>
      <c r="L12" s="141">
        <v>17866.689999999999</v>
      </c>
      <c r="M12" s="184">
        <v>316.79999999999995</v>
      </c>
      <c r="N12" s="184"/>
    </row>
    <row r="13" spans="1:14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((352*0.2*(F7/2))/2)+316.8</f>
        <v>739.2</v>
      </c>
      <c r="G13" s="108">
        <v>73.31</v>
      </c>
      <c r="H13" s="73">
        <f t="shared" ref="H13:H16" si="2">F13*G13</f>
        <v>54190.752000000008</v>
      </c>
      <c r="I13" s="108">
        <f t="shared" si="0"/>
        <v>2.4332631780821918</v>
      </c>
      <c r="J13" s="107">
        <f t="shared" si="1"/>
        <v>131860.3614341839</v>
      </c>
      <c r="K13" s="77">
        <v>3</v>
      </c>
      <c r="L13" s="141">
        <v>15564.54</v>
      </c>
      <c r="M13" s="184">
        <v>316.79999999999995</v>
      </c>
      <c r="N13" s="184"/>
    </row>
    <row r="14" spans="1:14" ht="60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((2112*0.2*(F7/2))/2)+1900.8</f>
        <v>4435.2</v>
      </c>
      <c r="G14" s="108">
        <v>37.26</v>
      </c>
      <c r="H14" s="73">
        <f t="shared" si="2"/>
        <v>165255.552</v>
      </c>
      <c r="I14" s="108">
        <f t="shared" si="0"/>
        <v>2.4332631780821918</v>
      </c>
      <c r="J14" s="107">
        <f t="shared" si="1"/>
        <v>402110.24965524691</v>
      </c>
      <c r="K14" s="77">
        <v>3</v>
      </c>
      <c r="L14" s="141">
        <v>12379.96</v>
      </c>
      <c r="M14" s="184">
        <v>1900.8000000000002</v>
      </c>
      <c r="N14" s="184"/>
    </row>
    <row r="15" spans="1:14" ht="60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((2112*0.2*(F7/2))/2)+1900.8</f>
        <v>4435.2</v>
      </c>
      <c r="G15" s="108">
        <v>44.9</v>
      </c>
      <c r="H15" s="73">
        <f t="shared" si="2"/>
        <v>199140.47999999998</v>
      </c>
      <c r="I15" s="108">
        <f t="shared" si="0"/>
        <v>2.4332631780821918</v>
      </c>
      <c r="J15" s="107">
        <f t="shared" si="1"/>
        <v>484561.19724961312</v>
      </c>
      <c r="K15" s="77">
        <v>3</v>
      </c>
      <c r="L15" s="141">
        <v>12379.96</v>
      </c>
      <c r="M15" s="184">
        <v>1900.8000000000002</v>
      </c>
      <c r="N15" s="184"/>
    </row>
    <row r="16" spans="1:14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((704*0.2*(F7/2))/2)+633.6</f>
        <v>1478.4</v>
      </c>
      <c r="G16" s="108">
        <v>38.39</v>
      </c>
      <c r="H16" s="73">
        <f t="shared" si="2"/>
        <v>56755.776000000005</v>
      </c>
      <c r="I16" s="108">
        <f t="shared" si="0"/>
        <v>2.4332631780821918</v>
      </c>
      <c r="J16" s="107">
        <f t="shared" si="1"/>
        <v>138101.73988428101</v>
      </c>
      <c r="K16" s="77">
        <v>3</v>
      </c>
      <c r="L16" s="141">
        <v>12379.96</v>
      </c>
      <c r="M16" s="184">
        <v>633.59999999999991</v>
      </c>
      <c r="N16" s="184"/>
    </row>
    <row r="17" spans="1:14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  <c r="M17" s="184">
        <v>0</v>
      </c>
      <c r="N17" s="184"/>
    </row>
    <row r="18" spans="1:14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((1760*0.2*(F7/2))/2)+1584</f>
        <v>3696</v>
      </c>
      <c r="G18" s="108">
        <v>17.72</v>
      </c>
      <c r="H18" s="73">
        <f t="shared" ref="H18" si="3">F18*G18</f>
        <v>65493.119999999995</v>
      </c>
      <c r="I18" s="108">
        <f t="shared" ref="I18" si="4">$J$4</f>
        <v>2.4332631780821918</v>
      </c>
      <c r="J18" s="107">
        <f t="shared" ref="J18" si="5">H18*I18</f>
        <v>159361.99731371834</v>
      </c>
      <c r="K18" s="77">
        <v>3</v>
      </c>
      <c r="L18" s="140">
        <v>35.69</v>
      </c>
      <c r="M18" s="184">
        <v>1584</v>
      </c>
      <c r="N18" s="184"/>
    </row>
    <row r="19" spans="1:14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1447855.9069712274</v>
      </c>
      <c r="K19" s="85"/>
      <c r="L19" s="134"/>
      <c r="M19" s="184">
        <v>0</v>
      </c>
      <c r="N19" s="184"/>
    </row>
    <row r="20" spans="1:14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  <c r="M20" s="184">
        <v>0</v>
      </c>
      <c r="N20" s="184"/>
    </row>
    <row r="21" spans="1:14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  <c r="M21" s="184">
        <v>0</v>
      </c>
      <c r="N21" s="184"/>
    </row>
    <row r="22" spans="1:14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  <c r="M22" s="184">
        <v>0</v>
      </c>
      <c r="N22" s="184"/>
    </row>
    <row r="23" spans="1:14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  <c r="M23" s="184">
        <v>0</v>
      </c>
      <c r="N23" s="184"/>
    </row>
    <row r="24" spans="1:14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160</v>
      </c>
      <c r="E24" s="5" t="s">
        <v>25</v>
      </c>
      <c r="F24" s="111">
        <f>(7/2)+2</f>
        <v>5.5</v>
      </c>
      <c r="G24" s="190">
        <v>4090</v>
      </c>
      <c r="H24" s="191"/>
      <c r="I24" s="106">
        <f>$J$6</f>
        <v>1.2328767123287672</v>
      </c>
      <c r="J24" s="107">
        <f>F24*G24*I24</f>
        <v>27733.561643835619</v>
      </c>
      <c r="K24" s="77">
        <v>0.5</v>
      </c>
      <c r="L24" s="140">
        <v>6804</v>
      </c>
      <c r="M24" s="185">
        <v>2</v>
      </c>
      <c r="N24" s="185"/>
    </row>
    <row r="25" spans="1:14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27733.561643835619</v>
      </c>
      <c r="K25" s="85"/>
      <c r="L25" s="134"/>
      <c r="M25" s="184">
        <v>0</v>
      </c>
      <c r="N25" s="184"/>
    </row>
    <row r="26" spans="1:14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  <c r="M26" s="184">
        <v>0</v>
      </c>
      <c r="N26" s="184"/>
    </row>
    <row r="27" spans="1:14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(14.4/2)+3.6</f>
        <v>10.8</v>
      </c>
      <c r="G27" s="190">
        <v>222.43</v>
      </c>
      <c r="H27" s="191"/>
      <c r="I27" s="108">
        <f>$J$6</f>
        <v>1.2328767123287672</v>
      </c>
      <c r="J27" s="109">
        <f>F27*G27*I27</f>
        <v>2961.6706849315069</v>
      </c>
      <c r="K27" s="86">
        <f>1*10*3</f>
        <v>30</v>
      </c>
      <c r="L27" s="140">
        <v>222.43</v>
      </c>
      <c r="M27" s="184">
        <v>3.6</v>
      </c>
      <c r="N27" s="184"/>
    </row>
    <row r="28" spans="1:14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(14.4/2)+3.6</f>
        <v>10.8</v>
      </c>
      <c r="G28" s="190">
        <v>161.29</v>
      </c>
      <c r="H28" s="191"/>
      <c r="I28" s="108">
        <f>$J$6</f>
        <v>1.2328767123287672</v>
      </c>
      <c r="J28" s="109">
        <f>F28*G28*I28</f>
        <v>2147.587397260274</v>
      </c>
      <c r="K28" s="86">
        <f>5*1*3</f>
        <v>15</v>
      </c>
      <c r="L28" s="140">
        <v>161.29</v>
      </c>
      <c r="M28" s="184">
        <v>3.6</v>
      </c>
      <c r="N28" s="184"/>
    </row>
    <row r="29" spans="1:14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5109.2580821917809</v>
      </c>
      <c r="K29" s="87"/>
      <c r="L29" s="134"/>
    </row>
    <row r="30" spans="1:14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32842.819726027403</v>
      </c>
      <c r="K30" s="88"/>
      <c r="L30" s="134"/>
    </row>
    <row r="31" spans="1:14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1480698.7266972547</v>
      </c>
      <c r="K31" s="89"/>
      <c r="L31" s="134"/>
    </row>
    <row r="32" spans="1:14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1" x14ac:dyDescent="0.25">
      <c r="A33" s="95"/>
      <c r="J33" s="163"/>
    </row>
    <row r="35" spans="1:11" x14ac:dyDescent="0.25">
      <c r="J35" s="113"/>
      <c r="K35" s="96"/>
    </row>
    <row r="37" spans="1:11" x14ac:dyDescent="0.25">
      <c r="H37" s="113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F4AF-8A79-48BA-BF82-1C109340345C}">
  <sheetPr>
    <pageSetUpPr fitToPage="1"/>
  </sheetPr>
  <dimension ref="A1:N37"/>
  <sheetViews>
    <sheetView showGridLines="0" topLeftCell="B1" zoomScale="80" zoomScaleNormal="80" zoomScaleSheetLayoutView="70" workbookViewId="0">
      <selection activeCell="B1" sqref="B1:J1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hidden="1" customWidth="1"/>
    <col min="14" max="14" width="20.140625" style="94" hidden="1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4" ht="65.099999999999994" customHeight="1" thickBot="1" x14ac:dyDescent="0.3">
      <c r="A1" s="7"/>
      <c r="B1" s="214" t="s">
        <v>187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4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4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4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4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4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4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4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4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4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4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4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((352*0.2*(F7/2))/2)/2</f>
        <v>211.20000000000002</v>
      </c>
      <c r="G12" s="108">
        <v>73.31</v>
      </c>
      <c r="H12" s="73">
        <f>F12*G12</f>
        <v>15483.072000000002</v>
      </c>
      <c r="I12" s="108">
        <f t="shared" ref="I12:I16" si="0">$J$4</f>
        <v>2.4332631780821918</v>
      </c>
      <c r="J12" s="107">
        <f t="shared" ref="J12:J16" si="1">H12*I12</f>
        <v>37674.3889811954</v>
      </c>
      <c r="K12" s="77">
        <v>0.5</v>
      </c>
      <c r="L12" s="141">
        <v>17866.689999999999</v>
      </c>
      <c r="M12" s="94">
        <v>422.40000000000003</v>
      </c>
      <c r="N12" s="94">
        <f>M12/2</f>
        <v>211.20000000000002</v>
      </c>
    </row>
    <row r="13" spans="1:14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((352*0.2*(F7/2))/2)/2</f>
        <v>211.20000000000002</v>
      </c>
      <c r="G13" s="108">
        <v>73.31</v>
      </c>
      <c r="H13" s="73">
        <f t="shared" ref="H13:H16" si="2">F13*G13</f>
        <v>15483.072000000002</v>
      </c>
      <c r="I13" s="108">
        <f t="shared" si="0"/>
        <v>2.4332631780821918</v>
      </c>
      <c r="J13" s="107">
        <f t="shared" si="1"/>
        <v>37674.3889811954</v>
      </c>
      <c r="K13" s="77">
        <v>3</v>
      </c>
      <c r="L13" s="141">
        <v>15564.54</v>
      </c>
      <c r="M13" s="94">
        <v>422.40000000000003</v>
      </c>
      <c r="N13" s="94">
        <f t="shared" ref="N13:N28" si="3">M13/2</f>
        <v>211.20000000000002</v>
      </c>
    </row>
    <row r="14" spans="1:14" ht="60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((2112*0.2*(F7/2))/2)/2</f>
        <v>1267.2</v>
      </c>
      <c r="G14" s="108">
        <v>37.26</v>
      </c>
      <c r="H14" s="73">
        <f t="shared" si="2"/>
        <v>47215.871999999996</v>
      </c>
      <c r="I14" s="108">
        <f t="shared" si="0"/>
        <v>2.4332631780821918</v>
      </c>
      <c r="J14" s="107">
        <f t="shared" si="1"/>
        <v>114888.64275864196</v>
      </c>
      <c r="K14" s="77">
        <v>3</v>
      </c>
      <c r="L14" s="141">
        <v>12379.96</v>
      </c>
      <c r="M14" s="94">
        <v>2534.4</v>
      </c>
      <c r="N14" s="94">
        <f t="shared" si="3"/>
        <v>1267.2</v>
      </c>
    </row>
    <row r="15" spans="1:14" ht="60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((2112*0.2*(F7/2))/2)/2</f>
        <v>1267.2</v>
      </c>
      <c r="G15" s="108">
        <v>44.9</v>
      </c>
      <c r="H15" s="73">
        <f t="shared" si="2"/>
        <v>56897.279999999999</v>
      </c>
      <c r="I15" s="108">
        <f t="shared" si="0"/>
        <v>2.4332631780821918</v>
      </c>
      <c r="J15" s="107">
        <f t="shared" si="1"/>
        <v>138446.05635703233</v>
      </c>
      <c r="K15" s="77">
        <v>3</v>
      </c>
      <c r="L15" s="141">
        <v>12379.96</v>
      </c>
      <c r="M15" s="94">
        <v>2534.4</v>
      </c>
      <c r="N15" s="94">
        <f t="shared" si="3"/>
        <v>1267.2</v>
      </c>
    </row>
    <row r="16" spans="1:14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((704*0.2*(F7/2))/2)/2</f>
        <v>422.40000000000003</v>
      </c>
      <c r="G16" s="108">
        <v>38.39</v>
      </c>
      <c r="H16" s="73">
        <f t="shared" si="2"/>
        <v>16215.936000000002</v>
      </c>
      <c r="I16" s="108">
        <f t="shared" si="0"/>
        <v>2.4332631780821918</v>
      </c>
      <c r="J16" s="107">
        <f t="shared" si="1"/>
        <v>39457.63996693743</v>
      </c>
      <c r="K16" s="77">
        <v>3</v>
      </c>
      <c r="L16" s="141">
        <v>12379.96</v>
      </c>
      <c r="M16" s="94">
        <v>844.80000000000007</v>
      </c>
      <c r="N16" s="94">
        <f t="shared" si="3"/>
        <v>422.40000000000003</v>
      </c>
    </row>
    <row r="17" spans="1:14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  <c r="N17" s="94">
        <f t="shared" si="3"/>
        <v>0</v>
      </c>
    </row>
    <row r="18" spans="1:14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((1760*0.2*(F7/2))/2)/2</f>
        <v>1056</v>
      </c>
      <c r="G18" s="108">
        <v>17.72</v>
      </c>
      <c r="H18" s="73">
        <f t="shared" ref="H18" si="4">F18*G18</f>
        <v>18712.32</v>
      </c>
      <c r="I18" s="108">
        <f t="shared" ref="I18" si="5">$J$4</f>
        <v>2.4332631780821918</v>
      </c>
      <c r="J18" s="107">
        <f t="shared" ref="J18" si="6">H18*I18</f>
        <v>45531.999232490962</v>
      </c>
      <c r="K18" s="77">
        <v>3</v>
      </c>
      <c r="L18" s="140">
        <v>35.69</v>
      </c>
      <c r="M18" s="94">
        <v>2112</v>
      </c>
      <c r="N18" s="94">
        <f t="shared" si="3"/>
        <v>1056</v>
      </c>
    </row>
    <row r="19" spans="1:14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413673.11627749348</v>
      </c>
      <c r="K19" s="85"/>
      <c r="L19" s="134"/>
      <c r="N19" s="94">
        <f t="shared" si="3"/>
        <v>0</v>
      </c>
    </row>
    <row r="20" spans="1:14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  <c r="N20" s="94">
        <f t="shared" si="3"/>
        <v>0</v>
      </c>
    </row>
    <row r="21" spans="1:14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  <c r="N21" s="94">
        <f t="shared" si="3"/>
        <v>0</v>
      </c>
    </row>
    <row r="22" spans="1:14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  <c r="N22" s="94">
        <f t="shared" si="3"/>
        <v>0</v>
      </c>
    </row>
    <row r="23" spans="1:14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  <c r="N23" s="94">
        <f t="shared" si="3"/>
        <v>0</v>
      </c>
    </row>
    <row r="24" spans="1:14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160</v>
      </c>
      <c r="E24" s="5" t="s">
        <v>25</v>
      </c>
      <c r="F24" s="111">
        <f>7/4</f>
        <v>1.75</v>
      </c>
      <c r="G24" s="190">
        <v>4090</v>
      </c>
      <c r="H24" s="191"/>
      <c r="I24" s="106">
        <f>$J$6</f>
        <v>1.2328767123287672</v>
      </c>
      <c r="J24" s="107">
        <f>F24*G24*I24</f>
        <v>8824.3150684931516</v>
      </c>
      <c r="K24" s="77">
        <v>0.5</v>
      </c>
      <c r="L24" s="140">
        <v>6804</v>
      </c>
      <c r="M24" s="139">
        <v>3.5</v>
      </c>
      <c r="N24" s="94">
        <f t="shared" si="3"/>
        <v>1.75</v>
      </c>
    </row>
    <row r="25" spans="1:14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8824.3150684931516</v>
      </c>
      <c r="K25" s="85"/>
      <c r="L25" s="134"/>
      <c r="N25" s="94">
        <f t="shared" si="3"/>
        <v>0</v>
      </c>
    </row>
    <row r="26" spans="1:14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  <c r="N26" s="94">
        <f t="shared" si="3"/>
        <v>0</v>
      </c>
    </row>
    <row r="27" spans="1:14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14.4/4</f>
        <v>3.6</v>
      </c>
      <c r="G27" s="190">
        <v>222.43</v>
      </c>
      <c r="H27" s="191"/>
      <c r="I27" s="108">
        <f>$J$6</f>
        <v>1.2328767123287672</v>
      </c>
      <c r="J27" s="109">
        <f>F27*G27*I27</f>
        <v>987.22356164383575</v>
      </c>
      <c r="K27" s="86">
        <f>1*10*3</f>
        <v>30</v>
      </c>
      <c r="L27" s="140">
        <v>222.43</v>
      </c>
      <c r="M27" s="94">
        <v>7.2</v>
      </c>
      <c r="N27" s="94">
        <f t="shared" si="3"/>
        <v>3.6</v>
      </c>
    </row>
    <row r="28" spans="1:14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14.4/4</f>
        <v>3.6</v>
      </c>
      <c r="G28" s="190">
        <v>161.29</v>
      </c>
      <c r="H28" s="191"/>
      <c r="I28" s="108">
        <f>$J$6</f>
        <v>1.2328767123287672</v>
      </c>
      <c r="J28" s="109">
        <f>F28*G28*I28</f>
        <v>715.86246575342466</v>
      </c>
      <c r="K28" s="86">
        <f>5*1*3</f>
        <v>15</v>
      </c>
      <c r="L28" s="140">
        <v>161.29</v>
      </c>
      <c r="M28" s="94">
        <v>7.2</v>
      </c>
      <c r="N28" s="94">
        <f t="shared" si="3"/>
        <v>3.6</v>
      </c>
    </row>
    <row r="29" spans="1:14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1703.0860273972603</v>
      </c>
      <c r="K29" s="87"/>
      <c r="L29" s="134"/>
    </row>
    <row r="30" spans="1:14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10527.401095890411</v>
      </c>
      <c r="K30" s="88"/>
      <c r="L30" s="134"/>
    </row>
    <row r="31" spans="1:14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424200.51737338386</v>
      </c>
      <c r="K31" s="89"/>
      <c r="L31" s="134"/>
    </row>
    <row r="32" spans="1:14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1" x14ac:dyDescent="0.25">
      <c r="A33" s="95"/>
    </row>
    <row r="35" spans="1:11" x14ac:dyDescent="0.25">
      <c r="J35" s="113"/>
      <c r="K35" s="96"/>
    </row>
    <row r="37" spans="1:11" x14ac:dyDescent="0.25">
      <c r="H37" s="113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B67F-4AB2-48CB-930F-072BFA617DAD}">
  <sheetPr>
    <pageSetUpPr fitToPage="1"/>
  </sheetPr>
  <dimension ref="A1:Q38"/>
  <sheetViews>
    <sheetView showGridLines="0" topLeftCell="B1" zoomScale="80" zoomScaleNormal="80" zoomScaleSheetLayoutView="70" workbookViewId="0">
      <selection activeCell="B1" sqref="B1:J1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hidden="1" customWidth="1"/>
    <col min="14" max="14" width="25.5703125" style="94" hidden="1" customWidth="1"/>
    <col min="15" max="15" width="16.7109375" style="94" hidden="1" customWidth="1"/>
    <col min="16" max="17" width="9.140625" style="94" hidden="1" customWidth="1"/>
    <col min="18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2" ht="65.099999999999994" customHeight="1" thickBot="1" x14ac:dyDescent="0.3">
      <c r="A1" s="7"/>
      <c r="B1" s="214" t="s">
        <v>182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2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2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2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2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2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2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2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2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2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2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2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(352*0.3*(F7/2))*0.7</f>
        <v>887.03999999999985</v>
      </c>
      <c r="G12" s="108">
        <v>73.31</v>
      </c>
      <c r="H12" s="73">
        <f>F12*G12</f>
        <v>65028.902399999992</v>
      </c>
      <c r="I12" s="108">
        <f t="shared" ref="I12:I16" si="0">$J$4</f>
        <v>2.4332631780821918</v>
      </c>
      <c r="J12" s="107">
        <f t="shared" ref="J12:J16" si="1">H12*I12</f>
        <v>158232.43372102064</v>
      </c>
      <c r="K12" s="77">
        <v>0.5</v>
      </c>
      <c r="L12" s="141">
        <v>17866.689999999999</v>
      </c>
    </row>
    <row r="13" spans="1:12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(352*0.3*(F7/2))*0.7</f>
        <v>887.03999999999985</v>
      </c>
      <c r="G13" s="108">
        <v>73.31</v>
      </c>
      <c r="H13" s="73">
        <f t="shared" ref="H13:H16" si="2">F13*G13</f>
        <v>65028.902399999992</v>
      </c>
      <c r="I13" s="108">
        <f t="shared" si="0"/>
        <v>2.4332631780821918</v>
      </c>
      <c r="J13" s="107">
        <f t="shared" si="1"/>
        <v>158232.43372102064</v>
      </c>
      <c r="K13" s="77">
        <v>3</v>
      </c>
      <c r="L13" s="141">
        <v>15564.54</v>
      </c>
    </row>
    <row r="14" spans="1:12" ht="60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(2112*0.3*(F7/2))*0.7</f>
        <v>5322.24</v>
      </c>
      <c r="G14" s="108">
        <v>37.26</v>
      </c>
      <c r="H14" s="73">
        <f t="shared" si="2"/>
        <v>198306.66239999997</v>
      </c>
      <c r="I14" s="108">
        <f t="shared" si="0"/>
        <v>2.4332631780821918</v>
      </c>
      <c r="J14" s="107">
        <f t="shared" si="1"/>
        <v>482532.29958629626</v>
      </c>
      <c r="K14" s="77">
        <v>3</v>
      </c>
      <c r="L14" s="141">
        <v>12379.96</v>
      </c>
    </row>
    <row r="15" spans="1:12" ht="60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(2112*0.3*(F7/2))*0.7</f>
        <v>5322.24</v>
      </c>
      <c r="G15" s="108">
        <v>44.9</v>
      </c>
      <c r="H15" s="73">
        <f t="shared" si="2"/>
        <v>238968.57599999997</v>
      </c>
      <c r="I15" s="108">
        <f t="shared" si="0"/>
        <v>2.4332631780821918</v>
      </c>
      <c r="J15" s="107">
        <f t="shared" si="1"/>
        <v>581473.4366995357</v>
      </c>
      <c r="K15" s="77">
        <v>3</v>
      </c>
      <c r="L15" s="141">
        <v>12379.96</v>
      </c>
    </row>
    <row r="16" spans="1:12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(704*0.3*(F7/2))*0.7</f>
        <v>1774.0799999999997</v>
      </c>
      <c r="G16" s="108">
        <v>38.39</v>
      </c>
      <c r="H16" s="73">
        <f t="shared" si="2"/>
        <v>68106.931199999992</v>
      </c>
      <c r="I16" s="108">
        <f t="shared" si="0"/>
        <v>2.4332631780821918</v>
      </c>
      <c r="J16" s="107">
        <f t="shared" si="1"/>
        <v>165722.08786113717</v>
      </c>
      <c r="K16" s="77">
        <v>3</v>
      </c>
      <c r="L16" s="141">
        <v>12379.96</v>
      </c>
    </row>
    <row r="17" spans="1:16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</row>
    <row r="18" spans="1:16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v>4337.1499999999996</v>
      </c>
      <c r="G18" s="108">
        <v>17.72</v>
      </c>
      <c r="H18" s="73">
        <f t="shared" ref="H18" si="3">F18*G18</f>
        <v>76854.297999999995</v>
      </c>
      <c r="I18" s="108">
        <f t="shared" ref="I18" si="4">$J$4</f>
        <v>2.4332631780821918</v>
      </c>
      <c r="J18" s="107">
        <f t="shared" ref="J18" si="5">H18*I18</f>
        <v>187006.73340075582</v>
      </c>
      <c r="K18" s="77">
        <v>3</v>
      </c>
      <c r="L18" s="140">
        <v>35.69</v>
      </c>
      <c r="M18" s="96">
        <f>J18-4227.56</f>
        <v>182779.17340075583</v>
      </c>
      <c r="N18" s="94">
        <v>187006.83677646201</v>
      </c>
      <c r="O18" s="96">
        <f>F18-O21</f>
        <v>-2.3975390395207796E-3</v>
      </c>
      <c r="P18" s="94">
        <v>98.05</v>
      </c>
    </row>
    <row r="19" spans="1:16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1733199.4249897662</v>
      </c>
      <c r="K19" s="85"/>
      <c r="L19" s="134"/>
    </row>
    <row r="20" spans="1:16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</row>
    <row r="21" spans="1:16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  <c r="N21" s="188">
        <f>F18/J18</f>
        <v>2.3192480404999525E-2</v>
      </c>
      <c r="O21" s="96">
        <f>N21*N18</f>
        <v>4337.1523975390392</v>
      </c>
    </row>
    <row r="22" spans="1:16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</row>
    <row r="23" spans="1:16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</row>
    <row r="24" spans="1:16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172</v>
      </c>
      <c r="E24" s="5" t="s">
        <v>25</v>
      </c>
      <c r="F24" s="111">
        <f>7*0.7</f>
        <v>4.8999999999999995</v>
      </c>
      <c r="G24" s="190">
        <v>4090</v>
      </c>
      <c r="H24" s="191"/>
      <c r="I24" s="108">
        <f>$J$6</f>
        <v>1.2328767123287672</v>
      </c>
      <c r="J24" s="107">
        <f>F24*G24*I24</f>
        <v>24708.082191780817</v>
      </c>
      <c r="K24" s="77">
        <v>0.5</v>
      </c>
      <c r="L24" s="140">
        <v>6804</v>
      </c>
    </row>
    <row r="25" spans="1:16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24708.082191780817</v>
      </c>
      <c r="K25" s="85"/>
      <c r="L25" s="134"/>
    </row>
    <row r="26" spans="1:16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</row>
    <row r="27" spans="1:16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14.4*0.7</f>
        <v>10.08</v>
      </c>
      <c r="G27" s="190">
        <v>222.43</v>
      </c>
      <c r="H27" s="191"/>
      <c r="I27" s="108">
        <f>$J$6</f>
        <v>1.2328767123287672</v>
      </c>
      <c r="J27" s="109">
        <f>F27*G27*I27</f>
        <v>2764.2259726027396</v>
      </c>
      <c r="K27" s="86">
        <f>1*10*3</f>
        <v>30</v>
      </c>
      <c r="L27" s="140">
        <v>222.43</v>
      </c>
    </row>
    <row r="28" spans="1:16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14.4*0.7</f>
        <v>10.08</v>
      </c>
      <c r="G28" s="190">
        <v>161.29</v>
      </c>
      <c r="H28" s="191"/>
      <c r="I28" s="108">
        <f>$J$6</f>
        <v>1.2328767123287672</v>
      </c>
      <c r="J28" s="109">
        <f>F28*G28*I28</f>
        <v>2004.4149041095889</v>
      </c>
      <c r="K28" s="86">
        <f>5*1*3</f>
        <v>15</v>
      </c>
      <c r="L28" s="140">
        <v>161.29</v>
      </c>
      <c r="N28" s="167"/>
    </row>
    <row r="29" spans="1:16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4768.6408767123285</v>
      </c>
      <c r="K29" s="87"/>
      <c r="L29" s="134"/>
    </row>
    <row r="30" spans="1:16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29476.723068493146</v>
      </c>
      <c r="K30" s="88"/>
      <c r="L30" s="134"/>
      <c r="N30" s="169"/>
    </row>
    <row r="31" spans="1:16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1762676.1480582594</v>
      </c>
      <c r="K31" s="89"/>
      <c r="L31" s="134"/>
      <c r="M31" s="164"/>
      <c r="N31" s="170"/>
    </row>
    <row r="32" spans="1:16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4" hidden="1" x14ac:dyDescent="0.25">
      <c r="A33" s="95"/>
      <c r="I33" s="101" t="s">
        <v>174</v>
      </c>
      <c r="J33" s="113">
        <f>2524148.3*0.7</f>
        <v>1766903.8099999998</v>
      </c>
      <c r="M33" s="165">
        <v>8489052.8100000005</v>
      </c>
    </row>
    <row r="34" spans="1:14" hidden="1" x14ac:dyDescent="0.25">
      <c r="J34" s="163"/>
      <c r="M34" s="168"/>
    </row>
    <row r="35" spans="1:14" hidden="1" x14ac:dyDescent="0.25">
      <c r="I35" s="101" t="s">
        <v>175</v>
      </c>
      <c r="J35" s="113">
        <f>2524148.3*0.3</f>
        <v>757244.48999999987</v>
      </c>
      <c r="K35" s="96"/>
      <c r="M35" s="166"/>
      <c r="N35" s="96"/>
    </row>
    <row r="36" spans="1:14" hidden="1" x14ac:dyDescent="0.25">
      <c r="J36" s="113"/>
      <c r="M36" s="167"/>
      <c r="N36" s="96"/>
    </row>
    <row r="37" spans="1:14" hidden="1" x14ac:dyDescent="0.25">
      <c r="H37" s="113"/>
      <c r="J37" s="113">
        <f>J33+J35</f>
        <v>2524148.2999999998</v>
      </c>
    </row>
    <row r="38" spans="1:14" x14ac:dyDescent="0.25">
      <c r="J38" s="113"/>
      <c r="N38" s="96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0691-C536-4A00-851A-41D6068B42AE}">
  <sheetPr>
    <pageSetUpPr fitToPage="1"/>
  </sheetPr>
  <dimension ref="A1:L37"/>
  <sheetViews>
    <sheetView showGridLines="0" zoomScale="80" zoomScaleNormal="80" zoomScaleSheetLayoutView="70" workbookViewId="0">
      <selection activeCell="B1" sqref="B1:J1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customWidth="1"/>
    <col min="14" max="14" width="20.140625" style="94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2" ht="65.099999999999994" customHeight="1" thickBot="1" x14ac:dyDescent="0.3">
      <c r="A1" s="7"/>
      <c r="B1" s="214" t="s">
        <v>183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2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2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2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2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2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2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2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2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2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2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2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(352*0.3*(F7/2))*0.3</f>
        <v>380.15999999999991</v>
      </c>
      <c r="G12" s="108">
        <v>73.31</v>
      </c>
      <c r="H12" s="73">
        <f>F12*G12</f>
        <v>27869.529599999994</v>
      </c>
      <c r="I12" s="108">
        <f t="shared" ref="I12:I16" si="0">$J$4</f>
        <v>2.4332631780821918</v>
      </c>
      <c r="J12" s="107">
        <f t="shared" ref="J12:J16" si="1">H12*I12</f>
        <v>67813.900166151696</v>
      </c>
      <c r="K12" s="77">
        <v>0.5</v>
      </c>
      <c r="L12" s="141">
        <v>17866.689999999999</v>
      </c>
    </row>
    <row r="13" spans="1:12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(352*0.3*(F7/2))*0.3</f>
        <v>380.15999999999991</v>
      </c>
      <c r="G13" s="108">
        <v>73.31</v>
      </c>
      <c r="H13" s="73">
        <f t="shared" ref="H13:H16" si="2">F13*G13</f>
        <v>27869.529599999994</v>
      </c>
      <c r="I13" s="108">
        <f t="shared" si="0"/>
        <v>2.4332631780821918</v>
      </c>
      <c r="J13" s="107">
        <f t="shared" si="1"/>
        <v>67813.900166151696</v>
      </c>
      <c r="K13" s="77">
        <v>3</v>
      </c>
      <c r="L13" s="141">
        <v>15564.54</v>
      </c>
    </row>
    <row r="14" spans="1:12" ht="60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(2112*0.3*(F7/2))*0.3</f>
        <v>2280.96</v>
      </c>
      <c r="G14" s="108">
        <v>37.26</v>
      </c>
      <c r="H14" s="73">
        <f t="shared" si="2"/>
        <v>84988.569600000003</v>
      </c>
      <c r="I14" s="108">
        <f t="shared" si="0"/>
        <v>2.4332631780821918</v>
      </c>
      <c r="J14" s="107">
        <f t="shared" si="1"/>
        <v>206799.55696555556</v>
      </c>
      <c r="K14" s="77">
        <v>3</v>
      </c>
      <c r="L14" s="141">
        <v>12379.96</v>
      </c>
    </row>
    <row r="15" spans="1:12" ht="60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(2112*0.3*(F7/2))*0.3</f>
        <v>2280.96</v>
      </c>
      <c r="G15" s="108">
        <v>44.9</v>
      </c>
      <c r="H15" s="73">
        <f t="shared" si="2"/>
        <v>102415.10399999999</v>
      </c>
      <c r="I15" s="108">
        <f t="shared" si="0"/>
        <v>2.4332631780821918</v>
      </c>
      <c r="J15" s="107">
        <f t="shared" si="1"/>
        <v>249202.90144265819</v>
      </c>
      <c r="K15" s="77">
        <v>3</v>
      </c>
      <c r="L15" s="141">
        <v>12379.96</v>
      </c>
    </row>
    <row r="16" spans="1:12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(704*0.3*(F7/2))*0.3</f>
        <v>760.31999999999982</v>
      </c>
      <c r="G16" s="108">
        <v>38.39</v>
      </c>
      <c r="H16" s="73">
        <f t="shared" si="2"/>
        <v>29188.684799999992</v>
      </c>
      <c r="I16" s="108">
        <f t="shared" si="0"/>
        <v>2.4332631780821918</v>
      </c>
      <c r="J16" s="107">
        <f t="shared" si="1"/>
        <v>71023.751940487346</v>
      </c>
      <c r="K16" s="77">
        <v>3</v>
      </c>
      <c r="L16" s="141">
        <v>12379.96</v>
      </c>
    </row>
    <row r="17" spans="1:12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</row>
    <row r="18" spans="1:12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(1760*0.3*(F7/2))*0.3</f>
        <v>1900.8</v>
      </c>
      <c r="G18" s="108">
        <v>17.72</v>
      </c>
      <c r="H18" s="73">
        <f t="shared" ref="H18" si="3">F18*G18</f>
        <v>33682.175999999999</v>
      </c>
      <c r="I18" s="108">
        <f t="shared" ref="I18" si="4">$J$4</f>
        <v>2.4332631780821918</v>
      </c>
      <c r="J18" s="107">
        <f t="shared" ref="J18" si="5">H18*I18</f>
        <v>81957.598618483724</v>
      </c>
      <c r="K18" s="77">
        <v>3</v>
      </c>
      <c r="L18" s="140">
        <v>35.69</v>
      </c>
    </row>
    <row r="19" spans="1:12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744611.60929948813</v>
      </c>
      <c r="K19" s="85"/>
      <c r="L19" s="134"/>
    </row>
    <row r="20" spans="1:12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</row>
    <row r="21" spans="1:12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</row>
    <row r="22" spans="1:12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</row>
    <row r="23" spans="1:12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</row>
    <row r="24" spans="1:12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172</v>
      </c>
      <c r="E24" s="5" t="s">
        <v>25</v>
      </c>
      <c r="F24" s="111">
        <f>7*0.3</f>
        <v>2.1</v>
      </c>
      <c r="G24" s="190">
        <v>4090</v>
      </c>
      <c r="H24" s="191"/>
      <c r="I24" s="108">
        <f>$J$6</f>
        <v>1.2328767123287672</v>
      </c>
      <c r="J24" s="107">
        <f>F24*G24*I24</f>
        <v>10589.178082191782</v>
      </c>
      <c r="K24" s="77">
        <v>0.5</v>
      </c>
      <c r="L24" s="140">
        <v>6804</v>
      </c>
    </row>
    <row r="25" spans="1:12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10589.178082191782</v>
      </c>
      <c r="K25" s="85"/>
      <c r="L25" s="134"/>
    </row>
    <row r="26" spans="1:12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</row>
    <row r="27" spans="1:12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14.4*0.3</f>
        <v>4.32</v>
      </c>
      <c r="G27" s="190">
        <v>222.43</v>
      </c>
      <c r="H27" s="191"/>
      <c r="I27" s="108">
        <f>$J$6</f>
        <v>1.2328767123287672</v>
      </c>
      <c r="J27" s="109">
        <f>F27*G27*I27</f>
        <v>1184.6682739726029</v>
      </c>
      <c r="K27" s="86">
        <f>1*10*3</f>
        <v>30</v>
      </c>
      <c r="L27" s="140">
        <v>222.43</v>
      </c>
    </row>
    <row r="28" spans="1:12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14.4*0.3</f>
        <v>4.32</v>
      </c>
      <c r="G28" s="190">
        <v>161.29</v>
      </c>
      <c r="H28" s="191"/>
      <c r="I28" s="108">
        <f>$J$6</f>
        <v>1.2328767123287672</v>
      </c>
      <c r="J28" s="109">
        <f>F28*G28*I28</f>
        <v>859.03495890410954</v>
      </c>
      <c r="K28" s="86">
        <f>5*1*3</f>
        <v>15</v>
      </c>
      <c r="L28" s="140">
        <v>161.29</v>
      </c>
    </row>
    <row r="29" spans="1:12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2043.7032328767125</v>
      </c>
      <c r="K29" s="87"/>
      <c r="L29" s="134"/>
    </row>
    <row r="30" spans="1:12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12632.881315068495</v>
      </c>
      <c r="K30" s="88"/>
      <c r="L30" s="134"/>
    </row>
    <row r="31" spans="1:12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757244.49061455659</v>
      </c>
      <c r="K31" s="89"/>
      <c r="L31" s="134"/>
    </row>
    <row r="32" spans="1:12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1" x14ac:dyDescent="0.25">
      <c r="A33" s="95"/>
    </row>
    <row r="35" spans="1:11" x14ac:dyDescent="0.25">
      <c r="J35" s="113"/>
      <c r="K35" s="96"/>
    </row>
    <row r="37" spans="1:11" x14ac:dyDescent="0.25">
      <c r="H37" s="113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9332-921A-4037-BD4B-81C20753ED9E}">
  <sheetPr>
    <pageSetUpPr fitToPage="1"/>
  </sheetPr>
  <dimension ref="A1:N39"/>
  <sheetViews>
    <sheetView showGridLines="0" topLeftCell="B1" zoomScale="80" zoomScaleNormal="80" zoomScaleSheetLayoutView="70" workbookViewId="0">
      <selection activeCell="B1" sqref="B1:J1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hidden="1" customWidth="1"/>
    <col min="14" max="14" width="20.140625" style="94" hidden="1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4" ht="65.099999999999994" customHeight="1" thickBot="1" x14ac:dyDescent="0.3">
      <c r="A1" s="7"/>
      <c r="B1" s="214" t="s">
        <v>188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4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4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4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4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4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4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4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4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4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4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4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((352*0.3*(F7/2))*0.5)/2</f>
        <v>316.79999999999995</v>
      </c>
      <c r="G12" s="108">
        <v>73.31</v>
      </c>
      <c r="H12" s="73">
        <f>F12*G12</f>
        <v>23224.607999999997</v>
      </c>
      <c r="I12" s="108">
        <f t="shared" ref="I12:I16" si="0">$J$4</f>
        <v>2.4332631780821918</v>
      </c>
      <c r="J12" s="107">
        <f t="shared" ref="J12:J16" si="1">H12*I12</f>
        <v>56511.583471793092</v>
      </c>
      <c r="K12" s="77">
        <v>0.5</v>
      </c>
      <c r="L12" s="141">
        <v>17866.689999999999</v>
      </c>
      <c r="M12" s="94">
        <v>633.59999999999991</v>
      </c>
      <c r="N12" s="94">
        <f>M12/2</f>
        <v>316.79999999999995</v>
      </c>
    </row>
    <row r="13" spans="1:14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((352*0.3*(F7/2))*0.5)/2</f>
        <v>316.79999999999995</v>
      </c>
      <c r="G13" s="108">
        <v>73.31</v>
      </c>
      <c r="H13" s="73">
        <f t="shared" ref="H13:H16" si="2">F13*G13</f>
        <v>23224.607999999997</v>
      </c>
      <c r="I13" s="108">
        <f t="shared" si="0"/>
        <v>2.4332631780821918</v>
      </c>
      <c r="J13" s="107">
        <f t="shared" si="1"/>
        <v>56511.583471793092</v>
      </c>
      <c r="K13" s="77">
        <v>3</v>
      </c>
      <c r="L13" s="141">
        <v>15564.54</v>
      </c>
      <c r="M13" s="94">
        <v>633.59999999999991</v>
      </c>
      <c r="N13" s="94">
        <f t="shared" ref="N13:N28" si="3">M13/2</f>
        <v>316.79999999999995</v>
      </c>
    </row>
    <row r="14" spans="1:14" ht="60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((2112*0.3*(F7/2))*0.5)/2</f>
        <v>1900.8000000000002</v>
      </c>
      <c r="G14" s="108">
        <v>37.26</v>
      </c>
      <c r="H14" s="73">
        <f t="shared" si="2"/>
        <v>70823.808000000005</v>
      </c>
      <c r="I14" s="108">
        <f t="shared" si="0"/>
        <v>2.4332631780821918</v>
      </c>
      <c r="J14" s="107">
        <f t="shared" si="1"/>
        <v>172332.96413796296</v>
      </c>
      <c r="K14" s="77">
        <v>3</v>
      </c>
      <c r="L14" s="141">
        <v>12379.96</v>
      </c>
      <c r="M14" s="94">
        <v>3801.6000000000004</v>
      </c>
      <c r="N14" s="94">
        <f t="shared" si="3"/>
        <v>1900.8000000000002</v>
      </c>
    </row>
    <row r="15" spans="1:14" ht="60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((2112*0.3*(F7/2))*0.5)/2</f>
        <v>1900.8000000000002</v>
      </c>
      <c r="G15" s="108">
        <v>44.9</v>
      </c>
      <c r="H15" s="73">
        <f t="shared" si="2"/>
        <v>85345.919999999998</v>
      </c>
      <c r="I15" s="108">
        <f t="shared" si="0"/>
        <v>2.4332631780821918</v>
      </c>
      <c r="J15" s="107">
        <f t="shared" si="1"/>
        <v>207669.08453554849</v>
      </c>
      <c r="K15" s="77">
        <v>3</v>
      </c>
      <c r="L15" s="141">
        <v>12379.96</v>
      </c>
      <c r="M15" s="94">
        <v>3801.6000000000004</v>
      </c>
      <c r="N15" s="94">
        <f t="shared" si="3"/>
        <v>1900.8000000000002</v>
      </c>
    </row>
    <row r="16" spans="1:14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((704*0.3*(F7/2))*0.5)/2</f>
        <v>633.59999999999991</v>
      </c>
      <c r="G16" s="108">
        <v>38.39</v>
      </c>
      <c r="H16" s="73">
        <f t="shared" si="2"/>
        <v>24323.903999999999</v>
      </c>
      <c r="I16" s="108">
        <f t="shared" si="0"/>
        <v>2.4332631780821918</v>
      </c>
      <c r="J16" s="107">
        <f t="shared" si="1"/>
        <v>59186.459950406133</v>
      </c>
      <c r="K16" s="77">
        <v>3</v>
      </c>
      <c r="L16" s="141">
        <v>12379.96</v>
      </c>
      <c r="M16" s="94">
        <v>1267.1999999999998</v>
      </c>
      <c r="N16" s="94">
        <f t="shared" si="3"/>
        <v>633.59999999999991</v>
      </c>
    </row>
    <row r="17" spans="1:14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  <c r="N17" s="94">
        <f t="shared" si="3"/>
        <v>0</v>
      </c>
    </row>
    <row r="18" spans="1:14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((1760*0.3*(F7/2))*0.5)/2</f>
        <v>1584</v>
      </c>
      <c r="G18" s="108">
        <v>17.72</v>
      </c>
      <c r="H18" s="73">
        <f t="shared" ref="H18" si="4">F18*G18</f>
        <v>28068.48</v>
      </c>
      <c r="I18" s="108">
        <f t="shared" ref="I18" si="5">$J$4</f>
        <v>2.4332631780821918</v>
      </c>
      <c r="J18" s="107">
        <f t="shared" ref="J18" si="6">H18*I18</f>
        <v>68297.998848736432</v>
      </c>
      <c r="K18" s="77">
        <v>3</v>
      </c>
      <c r="L18" s="140">
        <v>35.69</v>
      </c>
      <c r="M18" s="94">
        <v>3168</v>
      </c>
      <c r="N18" s="94">
        <f t="shared" si="3"/>
        <v>1584</v>
      </c>
    </row>
    <row r="19" spans="1:14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620509.67441624019</v>
      </c>
      <c r="K19" s="85"/>
      <c r="L19" s="134"/>
      <c r="N19" s="94">
        <f t="shared" si="3"/>
        <v>0</v>
      </c>
    </row>
    <row r="20" spans="1:14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  <c r="N20" s="94">
        <f t="shared" si="3"/>
        <v>0</v>
      </c>
    </row>
    <row r="21" spans="1:14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  <c r="N21" s="94">
        <f t="shared" si="3"/>
        <v>0</v>
      </c>
    </row>
    <row r="22" spans="1:14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  <c r="N22" s="94">
        <f t="shared" si="3"/>
        <v>0</v>
      </c>
    </row>
    <row r="23" spans="1:14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  <c r="N23" s="94">
        <f t="shared" si="3"/>
        <v>0</v>
      </c>
    </row>
    <row r="24" spans="1:14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172</v>
      </c>
      <c r="E24" s="5" t="s">
        <v>25</v>
      </c>
      <c r="F24" s="111">
        <f>(8*0.5)/2</f>
        <v>2</v>
      </c>
      <c r="G24" s="190">
        <v>4090</v>
      </c>
      <c r="H24" s="191"/>
      <c r="I24" s="106">
        <f>$J$6</f>
        <v>1.2328767123287672</v>
      </c>
      <c r="J24" s="107">
        <f>F24*G24*I24</f>
        <v>10084.931506849316</v>
      </c>
      <c r="K24" s="77">
        <v>0.5</v>
      </c>
      <c r="L24" s="140">
        <v>6804</v>
      </c>
      <c r="M24" s="139">
        <v>4</v>
      </c>
      <c r="N24" s="94">
        <f t="shared" si="3"/>
        <v>2</v>
      </c>
    </row>
    <row r="25" spans="1:14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10084.931506849316</v>
      </c>
      <c r="K25" s="85"/>
      <c r="L25" s="134"/>
      <c r="N25" s="94">
        <f t="shared" si="3"/>
        <v>0</v>
      </c>
    </row>
    <row r="26" spans="1:14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  <c r="N26" s="94">
        <f t="shared" si="3"/>
        <v>0</v>
      </c>
    </row>
    <row r="27" spans="1:14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(14.4*0.5)/2</f>
        <v>3.6</v>
      </c>
      <c r="G27" s="190">
        <v>222.43</v>
      </c>
      <c r="H27" s="191"/>
      <c r="I27" s="108">
        <f>$J$6</f>
        <v>1.2328767123287672</v>
      </c>
      <c r="J27" s="109">
        <f>F27*G27*I27</f>
        <v>987.22356164383575</v>
      </c>
      <c r="K27" s="86">
        <f>1*10*3</f>
        <v>30</v>
      </c>
      <c r="L27" s="140">
        <v>222.43</v>
      </c>
      <c r="M27" s="94">
        <v>7.2</v>
      </c>
      <c r="N27" s="94">
        <f t="shared" si="3"/>
        <v>3.6</v>
      </c>
    </row>
    <row r="28" spans="1:14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(14.4*0.5)/2</f>
        <v>3.6</v>
      </c>
      <c r="G28" s="190">
        <v>161.29</v>
      </c>
      <c r="H28" s="191"/>
      <c r="I28" s="108">
        <f>$J$6</f>
        <v>1.2328767123287672</v>
      </c>
      <c r="J28" s="109">
        <f>F28*G28*I28</f>
        <v>715.86246575342466</v>
      </c>
      <c r="K28" s="86">
        <f>5*1*3</f>
        <v>15</v>
      </c>
      <c r="L28" s="140">
        <v>161.29</v>
      </c>
      <c r="M28" s="94">
        <v>7.2</v>
      </c>
      <c r="N28" s="94">
        <f t="shared" si="3"/>
        <v>3.6</v>
      </c>
    </row>
    <row r="29" spans="1:14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1703.0860273972603</v>
      </c>
      <c r="K29" s="87"/>
      <c r="L29" s="134"/>
    </row>
    <row r="30" spans="1:14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11788.017534246577</v>
      </c>
      <c r="K30" s="88"/>
      <c r="L30" s="134"/>
    </row>
    <row r="31" spans="1:14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632297.69195048674</v>
      </c>
      <c r="K31" s="89"/>
      <c r="L31" s="134"/>
    </row>
    <row r="32" spans="1:14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3" hidden="1" x14ac:dyDescent="0.25">
      <c r="A33" s="95"/>
      <c r="J33" s="163">
        <v>2529190.77</v>
      </c>
      <c r="M33" s="165">
        <v>8489052.8100000005</v>
      </c>
    </row>
    <row r="34" spans="1:13" hidden="1" x14ac:dyDescent="0.25"/>
    <row r="35" spans="1:13" hidden="1" x14ac:dyDescent="0.25">
      <c r="J35" s="101" t="s">
        <v>177</v>
      </c>
      <c r="K35" s="113">
        <f>2524148.3*0.7</f>
        <v>1766903.8099999998</v>
      </c>
      <c r="M35" s="96">
        <f>J33*0.5</f>
        <v>1264595.385</v>
      </c>
    </row>
    <row r="36" spans="1:13" hidden="1" x14ac:dyDescent="0.25">
      <c r="K36" s="163"/>
    </row>
    <row r="37" spans="1:13" hidden="1" x14ac:dyDescent="0.25">
      <c r="H37" s="113"/>
      <c r="J37" s="101" t="s">
        <v>176</v>
      </c>
      <c r="K37" s="113">
        <f>2524148.3*0.3</f>
        <v>757244.48999999987</v>
      </c>
      <c r="M37" s="96">
        <f>J33*0.5</f>
        <v>1264595.385</v>
      </c>
    </row>
    <row r="38" spans="1:13" x14ac:dyDescent="0.25">
      <c r="K38" s="113"/>
    </row>
    <row r="39" spans="1:13" x14ac:dyDescent="0.25">
      <c r="I39" s="113"/>
      <c r="K39" s="113">
        <f>K35+K37</f>
        <v>2524148.2999999998</v>
      </c>
      <c r="M39" s="96">
        <f>M35+M37</f>
        <v>2529190.77</v>
      </c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790D-EFA1-408E-A8C6-15C26149EB5B}">
  <sheetPr>
    <pageSetUpPr fitToPage="1"/>
  </sheetPr>
  <dimension ref="A1:L37"/>
  <sheetViews>
    <sheetView showGridLines="0" topLeftCell="B1" zoomScale="80" zoomScaleNormal="80" zoomScaleSheetLayoutView="70" workbookViewId="0">
      <selection activeCell="B6" sqref="B6:D6"/>
    </sheetView>
  </sheetViews>
  <sheetFormatPr defaultColWidth="36.140625" defaultRowHeight="15" x14ac:dyDescent="0.25"/>
  <cols>
    <col min="1" max="1" width="13.28515625" style="94" customWidth="1"/>
    <col min="2" max="2" width="16.5703125" style="94" customWidth="1"/>
    <col min="3" max="3" width="22.28515625" style="94" customWidth="1"/>
    <col min="4" max="4" width="73.28515625" style="94" customWidth="1"/>
    <col min="5" max="5" width="20.85546875" style="94" customWidth="1"/>
    <col min="6" max="6" width="18.5703125" style="112" customWidth="1"/>
    <col min="7" max="7" width="19.7109375" style="101" customWidth="1"/>
    <col min="8" max="8" width="23.42578125" style="101" customWidth="1"/>
    <col min="9" max="9" width="10.28515625" style="101" customWidth="1"/>
    <col min="10" max="10" width="28.7109375" style="101" customWidth="1"/>
    <col min="11" max="11" width="14.28515625" style="94" hidden="1" customWidth="1"/>
    <col min="12" max="12" width="16.140625" style="138" hidden="1" customWidth="1"/>
    <col min="13" max="13" width="17.5703125" style="94" customWidth="1"/>
    <col min="14" max="14" width="20.140625" style="94" customWidth="1"/>
    <col min="15" max="238" width="9.140625" style="94" customWidth="1"/>
    <col min="239" max="239" width="11.7109375" style="94" bestFit="1" customWidth="1"/>
    <col min="240" max="240" width="15.7109375" style="94" customWidth="1"/>
    <col min="241" max="241" width="64.7109375" style="94" customWidth="1"/>
    <col min="242" max="242" width="18.7109375" style="94" customWidth="1"/>
    <col min="243" max="243" width="11.42578125" style="94" customWidth="1"/>
    <col min="244" max="244" width="14" style="94" customWidth="1"/>
    <col min="245" max="245" width="12.7109375" style="94" customWidth="1"/>
    <col min="246" max="246" width="6.42578125" style="94" customWidth="1"/>
    <col min="247" max="16384" width="36.140625" style="94"/>
  </cols>
  <sheetData>
    <row r="1" spans="1:12" ht="65.099999999999994" customHeight="1" thickBot="1" x14ac:dyDescent="0.3">
      <c r="A1" s="7"/>
      <c r="B1" s="214" t="s">
        <v>185</v>
      </c>
      <c r="C1" s="215"/>
      <c r="D1" s="215"/>
      <c r="E1" s="215"/>
      <c r="F1" s="215"/>
      <c r="G1" s="215"/>
      <c r="H1" s="215"/>
      <c r="I1" s="215"/>
      <c r="J1" s="216"/>
      <c r="K1" s="4"/>
      <c r="L1" s="134"/>
    </row>
    <row r="2" spans="1:12" ht="50.1" customHeight="1" thickTop="1" thickBot="1" x14ac:dyDescent="0.3">
      <c r="A2" s="217" t="str">
        <f>QUANTITATIVO!B1</f>
        <v>Contratação de empresa de engenharia consultiva para a prestação de serviços técnicos especializados de apoio e assessoramento às equipes de gestão e fiscalização da SIHS, especificamente no acompanhamento dos contratos vigentes nas áreas de saneamento básico, infraestrutura hídrica e revitalização de bacias, a ser materializada mediante a elaboração e entrega de produtos (laudos, pareceres e estudos) sob demanda.</v>
      </c>
      <c r="B2" s="226"/>
      <c r="C2" s="226"/>
      <c r="D2" s="226"/>
      <c r="E2" s="226"/>
      <c r="F2" s="226"/>
      <c r="G2" s="226"/>
      <c r="H2" s="226"/>
      <c r="I2" s="226"/>
      <c r="J2" s="227"/>
      <c r="K2" s="2"/>
      <c r="L2" s="134"/>
    </row>
    <row r="3" spans="1:12" ht="24.95" customHeight="1" thickTop="1" x14ac:dyDescent="0.25">
      <c r="A3" s="220"/>
      <c r="B3" s="221"/>
      <c r="C3" s="221"/>
      <c r="D3" s="221"/>
      <c r="E3" s="221"/>
      <c r="F3" s="221"/>
      <c r="G3" s="221"/>
      <c r="H3" s="221"/>
      <c r="I3" s="222" t="s">
        <v>0</v>
      </c>
      <c r="J3" s="223"/>
      <c r="K3" s="2"/>
      <c r="L3" s="134"/>
    </row>
    <row r="4" spans="1:12" ht="24.95" customHeight="1" x14ac:dyDescent="0.25">
      <c r="A4" s="224" t="s">
        <v>171</v>
      </c>
      <c r="B4" s="225"/>
      <c r="C4" s="225"/>
      <c r="D4" s="225"/>
      <c r="E4" s="78" t="s">
        <v>1</v>
      </c>
      <c r="F4" s="114" t="s">
        <v>170</v>
      </c>
      <c r="G4" s="115"/>
      <c r="H4" s="98"/>
      <c r="I4" s="99" t="s">
        <v>34</v>
      </c>
      <c r="J4" s="132">
        <f>'FATOR K TRDE'!K33</f>
        <v>2.4332631780821918</v>
      </c>
      <c r="K4" s="58"/>
      <c r="L4" s="118"/>
    </row>
    <row r="5" spans="1:12" ht="24.95" customHeight="1" x14ac:dyDescent="0.25">
      <c r="A5" s="1"/>
      <c r="B5" s="209"/>
      <c r="C5" s="209"/>
      <c r="D5" s="209"/>
      <c r="E5" s="3"/>
      <c r="F5" s="116"/>
      <c r="G5" s="117"/>
      <c r="H5" s="117"/>
      <c r="I5" s="99" t="s">
        <v>35</v>
      </c>
      <c r="J5" s="132">
        <f>'FATOR K TRDE'!K34</f>
        <v>1.6273972602739726</v>
      </c>
      <c r="K5" s="58"/>
      <c r="L5" s="118"/>
    </row>
    <row r="6" spans="1:12" ht="24.95" customHeight="1" x14ac:dyDescent="0.25">
      <c r="A6" s="1"/>
      <c r="B6" s="209"/>
      <c r="C6" s="209"/>
      <c r="D6" s="209"/>
      <c r="E6" s="3" t="s">
        <v>141</v>
      </c>
      <c r="F6" s="118">
        <v>176</v>
      </c>
      <c r="G6" s="98"/>
      <c r="I6" s="99" t="s">
        <v>36</v>
      </c>
      <c r="J6" s="132">
        <f>'FATOR K TRDE'!K40</f>
        <v>1.2328767123287672</v>
      </c>
      <c r="K6" s="58"/>
      <c r="L6" s="118"/>
    </row>
    <row r="7" spans="1:12" ht="24.95" customHeight="1" thickBot="1" x14ac:dyDescent="0.3">
      <c r="A7" s="8"/>
      <c r="B7" s="79"/>
      <c r="C7" s="79"/>
      <c r="D7" s="79"/>
      <c r="E7" s="80" t="s">
        <v>142</v>
      </c>
      <c r="F7" s="97">
        <v>24</v>
      </c>
      <c r="G7" s="102"/>
      <c r="H7" s="102"/>
      <c r="I7" s="103"/>
      <c r="J7" s="104"/>
      <c r="K7" s="11"/>
      <c r="L7" s="118"/>
    </row>
    <row r="8" spans="1:12" ht="29.25" customHeight="1" thickTop="1" x14ac:dyDescent="0.25">
      <c r="A8" s="210" t="s">
        <v>3</v>
      </c>
      <c r="B8" s="211" t="s">
        <v>39</v>
      </c>
      <c r="C8" s="211" t="s">
        <v>4</v>
      </c>
      <c r="D8" s="211" t="s">
        <v>5</v>
      </c>
      <c r="E8" s="211" t="s">
        <v>6</v>
      </c>
      <c r="F8" s="212" t="s">
        <v>145</v>
      </c>
      <c r="G8" s="213" t="s">
        <v>144</v>
      </c>
      <c r="H8" s="213" t="s">
        <v>37</v>
      </c>
      <c r="I8" s="211" t="s">
        <v>143</v>
      </c>
      <c r="J8" s="196" t="s">
        <v>146</v>
      </c>
      <c r="K8" s="75"/>
      <c r="L8" s="135"/>
    </row>
    <row r="9" spans="1:12" ht="26.25" customHeight="1" x14ac:dyDescent="0.25">
      <c r="A9" s="206"/>
      <c r="B9" s="200"/>
      <c r="C9" s="200"/>
      <c r="D9" s="200"/>
      <c r="E9" s="200"/>
      <c r="F9" s="207"/>
      <c r="G9" s="200"/>
      <c r="H9" s="208"/>
      <c r="I9" s="200"/>
      <c r="J9" s="197"/>
      <c r="K9" s="75"/>
      <c r="L9" s="135"/>
    </row>
    <row r="10" spans="1:12" ht="38.25" customHeight="1" x14ac:dyDescent="0.25">
      <c r="A10" s="120">
        <v>1</v>
      </c>
      <c r="B10" s="121" t="s">
        <v>9</v>
      </c>
      <c r="C10" s="121"/>
      <c r="D10" s="121"/>
      <c r="E10" s="121"/>
      <c r="F10" s="122"/>
      <c r="G10" s="123"/>
      <c r="H10" s="123"/>
      <c r="I10" s="123"/>
      <c r="J10" s="124"/>
      <c r="K10" s="82"/>
      <c r="L10" s="136" t="s">
        <v>147</v>
      </c>
    </row>
    <row r="11" spans="1:12" ht="24.95" customHeight="1" x14ac:dyDescent="0.25">
      <c r="A11" s="91" t="s">
        <v>10</v>
      </c>
      <c r="B11" s="83" t="s">
        <v>11</v>
      </c>
      <c r="C11" s="83"/>
      <c r="D11" s="83"/>
      <c r="E11" s="83"/>
      <c r="F11" s="125"/>
      <c r="G11" s="126"/>
      <c r="H11" s="126"/>
      <c r="I11" s="126"/>
      <c r="J11" s="127"/>
      <c r="K11" s="76" t="s">
        <v>138</v>
      </c>
      <c r="L11" s="137" t="s">
        <v>130</v>
      </c>
    </row>
    <row r="12" spans="1:12" ht="24.95" customHeight="1" x14ac:dyDescent="0.25">
      <c r="A12" s="90" t="s">
        <v>12</v>
      </c>
      <c r="B12" s="6" t="s">
        <v>40</v>
      </c>
      <c r="C12" s="6" t="s">
        <v>154</v>
      </c>
      <c r="D12" s="10" t="s">
        <v>149</v>
      </c>
      <c r="E12" s="93" t="s">
        <v>13</v>
      </c>
      <c r="F12" s="105">
        <f>(352*0.3*(F7/2))*0.5</f>
        <v>633.59999999999991</v>
      </c>
      <c r="G12" s="108">
        <v>73.31</v>
      </c>
      <c r="H12" s="73">
        <f>F12*G12</f>
        <v>46449.215999999993</v>
      </c>
      <c r="I12" s="108">
        <f t="shared" ref="I12:I16" si="0">$J$4</f>
        <v>2.4332631780821918</v>
      </c>
      <c r="J12" s="107">
        <f t="shared" ref="J12:J16" si="1">H12*I12</f>
        <v>113023.16694358618</v>
      </c>
      <c r="K12" s="77">
        <v>0.5</v>
      </c>
      <c r="L12" s="141">
        <v>17866.689999999999</v>
      </c>
    </row>
    <row r="13" spans="1:12" ht="24.95" customHeight="1" x14ac:dyDescent="0.25">
      <c r="A13" s="90" t="s">
        <v>14</v>
      </c>
      <c r="B13" s="6" t="s">
        <v>40</v>
      </c>
      <c r="C13" s="6" t="s">
        <v>154</v>
      </c>
      <c r="D13" s="10" t="s">
        <v>150</v>
      </c>
      <c r="E13" s="93" t="s">
        <v>13</v>
      </c>
      <c r="F13" s="105">
        <f>(352*0.3*(F7/2))*0.5</f>
        <v>633.59999999999991</v>
      </c>
      <c r="G13" s="108">
        <v>73.31</v>
      </c>
      <c r="H13" s="73">
        <f t="shared" ref="H13:H16" si="2">F13*G13</f>
        <v>46449.215999999993</v>
      </c>
      <c r="I13" s="108">
        <f t="shared" si="0"/>
        <v>2.4332631780821918</v>
      </c>
      <c r="J13" s="107">
        <f t="shared" si="1"/>
        <v>113023.16694358618</v>
      </c>
      <c r="K13" s="77">
        <v>3</v>
      </c>
      <c r="L13" s="141">
        <v>15564.54</v>
      </c>
    </row>
    <row r="14" spans="1:12" ht="60" x14ac:dyDescent="0.25">
      <c r="A14" s="90" t="s">
        <v>135</v>
      </c>
      <c r="B14" s="6" t="s">
        <v>40</v>
      </c>
      <c r="C14" s="6" t="s">
        <v>156</v>
      </c>
      <c r="D14" s="161" t="s">
        <v>151</v>
      </c>
      <c r="E14" s="93" t="s">
        <v>13</v>
      </c>
      <c r="F14" s="105">
        <f>(2112*0.3*(F7/2))*0.5</f>
        <v>3801.6000000000004</v>
      </c>
      <c r="G14" s="108">
        <v>37.26</v>
      </c>
      <c r="H14" s="73">
        <f t="shared" si="2"/>
        <v>141647.61600000001</v>
      </c>
      <c r="I14" s="108">
        <f t="shared" si="0"/>
        <v>2.4332631780821918</v>
      </c>
      <c r="J14" s="107">
        <f t="shared" si="1"/>
        <v>344665.92827592592</v>
      </c>
      <c r="K14" s="77">
        <v>3</v>
      </c>
      <c r="L14" s="141">
        <v>12379.96</v>
      </c>
    </row>
    <row r="15" spans="1:12" ht="60" x14ac:dyDescent="0.25">
      <c r="A15" s="90" t="s">
        <v>136</v>
      </c>
      <c r="B15" s="6" t="s">
        <v>40</v>
      </c>
      <c r="C15" s="6" t="s">
        <v>155</v>
      </c>
      <c r="D15" s="161" t="s">
        <v>152</v>
      </c>
      <c r="E15" s="93" t="s">
        <v>13</v>
      </c>
      <c r="F15" s="105">
        <f>(2112*0.3*(F7/2))*0.5</f>
        <v>3801.6000000000004</v>
      </c>
      <c r="G15" s="108">
        <v>44.9</v>
      </c>
      <c r="H15" s="73">
        <f t="shared" si="2"/>
        <v>170691.84</v>
      </c>
      <c r="I15" s="108">
        <f t="shared" si="0"/>
        <v>2.4332631780821918</v>
      </c>
      <c r="J15" s="107">
        <f t="shared" si="1"/>
        <v>415338.16907109699</v>
      </c>
      <c r="K15" s="77">
        <v>3</v>
      </c>
      <c r="L15" s="141">
        <v>12379.96</v>
      </c>
    </row>
    <row r="16" spans="1:12" ht="75" x14ac:dyDescent="0.25">
      <c r="A16" s="90" t="s">
        <v>137</v>
      </c>
      <c r="B16" s="6" t="s">
        <v>40</v>
      </c>
      <c r="C16" s="6" t="s">
        <v>157</v>
      </c>
      <c r="D16" s="161" t="s">
        <v>153</v>
      </c>
      <c r="E16" s="93" t="s">
        <v>13</v>
      </c>
      <c r="F16" s="105">
        <f>(704*0.3*(F7/2))*0.5</f>
        <v>1267.1999999999998</v>
      </c>
      <c r="G16" s="108">
        <v>38.39</v>
      </c>
      <c r="H16" s="73">
        <f t="shared" si="2"/>
        <v>48647.807999999997</v>
      </c>
      <c r="I16" s="108">
        <f t="shared" si="0"/>
        <v>2.4332631780821918</v>
      </c>
      <c r="J16" s="107">
        <f t="shared" si="1"/>
        <v>118372.91990081227</v>
      </c>
      <c r="K16" s="77">
        <v>3</v>
      </c>
      <c r="L16" s="141">
        <v>12379.96</v>
      </c>
    </row>
    <row r="17" spans="1:12" ht="24.95" customHeight="1" x14ac:dyDescent="0.25">
      <c r="A17" s="91" t="s">
        <v>15</v>
      </c>
      <c r="B17" s="83" t="s">
        <v>16</v>
      </c>
      <c r="C17" s="83"/>
      <c r="D17" s="83"/>
      <c r="E17" s="83"/>
      <c r="F17" s="125"/>
      <c r="G17" s="126"/>
      <c r="H17" s="126"/>
      <c r="I17" s="143"/>
      <c r="J17" s="110"/>
      <c r="K17" s="76" t="s">
        <v>138</v>
      </c>
      <c r="L17" s="137" t="s">
        <v>130</v>
      </c>
    </row>
    <row r="18" spans="1:12" ht="59.25" customHeight="1" x14ac:dyDescent="0.25">
      <c r="A18" s="90" t="s">
        <v>17</v>
      </c>
      <c r="B18" s="133" t="s">
        <v>40</v>
      </c>
      <c r="C18" s="6" t="s">
        <v>159</v>
      </c>
      <c r="D18" s="84" t="s">
        <v>158</v>
      </c>
      <c r="E18" s="93" t="s">
        <v>13</v>
      </c>
      <c r="F18" s="105">
        <f>(1760*0.3*(F7/2))*0.5</f>
        <v>3168</v>
      </c>
      <c r="G18" s="108">
        <v>17.72</v>
      </c>
      <c r="H18" s="73">
        <f t="shared" ref="H18" si="3">F18*G18</f>
        <v>56136.959999999999</v>
      </c>
      <c r="I18" s="108">
        <f t="shared" ref="I18" si="4">$J$4</f>
        <v>2.4332631780821918</v>
      </c>
      <c r="J18" s="107">
        <f t="shared" ref="J18" si="5">H18*I18</f>
        <v>136595.99769747286</v>
      </c>
      <c r="K18" s="77">
        <v>3</v>
      </c>
      <c r="L18" s="140">
        <v>35.69</v>
      </c>
    </row>
    <row r="19" spans="1:12" ht="24.95" customHeight="1" x14ac:dyDescent="0.25">
      <c r="A19" s="194" t="s">
        <v>18</v>
      </c>
      <c r="B19" s="195"/>
      <c r="C19" s="195"/>
      <c r="D19" s="195"/>
      <c r="E19" s="195"/>
      <c r="F19" s="195"/>
      <c r="G19" s="195"/>
      <c r="H19" s="195"/>
      <c r="I19" s="195"/>
      <c r="J19" s="128">
        <f>SUM(J12:J18)</f>
        <v>1241019.3488324804</v>
      </c>
      <c r="K19" s="85"/>
      <c r="L19" s="134"/>
    </row>
    <row r="20" spans="1:12" ht="24.95" customHeight="1" x14ac:dyDescent="0.25">
      <c r="A20" s="206" t="s">
        <v>3</v>
      </c>
      <c r="B20" s="200" t="s">
        <v>39</v>
      </c>
      <c r="C20" s="200" t="s">
        <v>4</v>
      </c>
      <c r="D20" s="200" t="s">
        <v>5</v>
      </c>
      <c r="E20" s="119" t="s">
        <v>21</v>
      </c>
      <c r="F20" s="207" t="s">
        <v>22</v>
      </c>
      <c r="G20" s="208" t="s">
        <v>7</v>
      </c>
      <c r="H20" s="208"/>
      <c r="I20" s="200" t="s">
        <v>2</v>
      </c>
      <c r="J20" s="201" t="s">
        <v>8</v>
      </c>
      <c r="K20" s="2"/>
      <c r="L20" s="134"/>
    </row>
    <row r="21" spans="1:12" ht="15.75" x14ac:dyDescent="0.25">
      <c r="A21" s="206"/>
      <c r="B21" s="200"/>
      <c r="C21" s="200"/>
      <c r="D21" s="200"/>
      <c r="E21" s="119" t="s">
        <v>6</v>
      </c>
      <c r="F21" s="207"/>
      <c r="G21" s="208"/>
      <c r="H21" s="208"/>
      <c r="I21" s="200"/>
      <c r="J21" s="201"/>
      <c r="K21" s="2"/>
      <c r="L21" s="134"/>
    </row>
    <row r="22" spans="1:12" ht="24.95" customHeight="1" x14ac:dyDescent="0.25">
      <c r="A22" s="120">
        <v>2</v>
      </c>
      <c r="B22" s="121" t="s">
        <v>23</v>
      </c>
      <c r="C22" s="121"/>
      <c r="D22" s="121"/>
      <c r="E22" s="121"/>
      <c r="F22" s="122"/>
      <c r="G22" s="202"/>
      <c r="H22" s="203"/>
      <c r="I22" s="123"/>
      <c r="J22" s="124"/>
      <c r="K22" s="82"/>
      <c r="L22" s="134"/>
    </row>
    <row r="23" spans="1:12" ht="24.95" customHeight="1" x14ac:dyDescent="0.25">
      <c r="A23" s="91" t="s">
        <v>19</v>
      </c>
      <c r="B23" s="83" t="s">
        <v>24</v>
      </c>
      <c r="C23" s="83"/>
      <c r="D23" s="83"/>
      <c r="E23" s="92"/>
      <c r="F23" s="125"/>
      <c r="G23" s="204"/>
      <c r="H23" s="205"/>
      <c r="I23" s="126"/>
      <c r="J23" s="127"/>
      <c r="K23" s="76" t="s">
        <v>138</v>
      </c>
      <c r="L23" s="137" t="s">
        <v>130</v>
      </c>
    </row>
    <row r="24" spans="1:12" s="139" customFormat="1" ht="35.1" customHeight="1" x14ac:dyDescent="0.25">
      <c r="A24" s="145" t="s">
        <v>164</v>
      </c>
      <c r="B24" s="6" t="s">
        <v>40</v>
      </c>
      <c r="C24" s="129" t="s">
        <v>166</v>
      </c>
      <c r="D24" s="161" t="s">
        <v>172</v>
      </c>
      <c r="E24" s="5" t="s">
        <v>25</v>
      </c>
      <c r="F24" s="111">
        <f>8*0.5</f>
        <v>4</v>
      </c>
      <c r="G24" s="190">
        <v>4090</v>
      </c>
      <c r="H24" s="191"/>
      <c r="I24" s="106">
        <f>$J$6</f>
        <v>1.2328767123287672</v>
      </c>
      <c r="J24" s="107">
        <f>F24*G24*I24</f>
        <v>20169.863013698632</v>
      </c>
      <c r="K24" s="77">
        <v>0.5</v>
      </c>
      <c r="L24" s="140">
        <v>6804</v>
      </c>
    </row>
    <row r="25" spans="1:12" ht="24.95" customHeight="1" x14ac:dyDescent="0.25">
      <c r="A25" s="192" t="s">
        <v>162</v>
      </c>
      <c r="B25" s="193"/>
      <c r="C25" s="193"/>
      <c r="D25" s="193"/>
      <c r="E25" s="193"/>
      <c r="F25" s="193"/>
      <c r="G25" s="193"/>
      <c r="H25" s="193"/>
      <c r="I25" s="193"/>
      <c r="J25" s="110">
        <f>J24</f>
        <v>20169.863013698632</v>
      </c>
      <c r="K25" s="85"/>
      <c r="L25" s="134"/>
    </row>
    <row r="26" spans="1:12" ht="24.95" customHeight="1" x14ac:dyDescent="0.25">
      <c r="A26" s="91" t="s">
        <v>161</v>
      </c>
      <c r="B26" s="83" t="s">
        <v>26</v>
      </c>
      <c r="C26" s="83"/>
      <c r="D26" s="83"/>
      <c r="E26" s="92"/>
      <c r="F26" s="125"/>
      <c r="G26" s="204"/>
      <c r="H26" s="205"/>
      <c r="I26" s="126"/>
      <c r="J26" s="127"/>
      <c r="K26" s="74"/>
      <c r="L26" s="136"/>
    </row>
    <row r="27" spans="1:12" ht="24.95" customHeight="1" x14ac:dyDescent="0.25">
      <c r="A27" s="90" t="s">
        <v>164</v>
      </c>
      <c r="B27" s="6" t="s">
        <v>40</v>
      </c>
      <c r="C27" s="6" t="s">
        <v>167</v>
      </c>
      <c r="D27" s="9" t="s">
        <v>27</v>
      </c>
      <c r="E27" s="5" t="s">
        <v>28</v>
      </c>
      <c r="F27" s="111">
        <f>14.4*0.5</f>
        <v>7.2</v>
      </c>
      <c r="G27" s="190">
        <v>222.43</v>
      </c>
      <c r="H27" s="191"/>
      <c r="I27" s="108">
        <f>$J$6</f>
        <v>1.2328767123287672</v>
      </c>
      <c r="J27" s="109">
        <f>F27*G27*I27</f>
        <v>1974.4471232876715</v>
      </c>
      <c r="K27" s="86">
        <f>1*10*3</f>
        <v>30</v>
      </c>
      <c r="L27" s="140">
        <v>222.43</v>
      </c>
    </row>
    <row r="28" spans="1:12" ht="24.95" customHeight="1" x14ac:dyDescent="0.25">
      <c r="A28" s="90" t="s">
        <v>165</v>
      </c>
      <c r="B28" s="6" t="s">
        <v>40</v>
      </c>
      <c r="C28" s="6" t="s">
        <v>167</v>
      </c>
      <c r="D28" s="9" t="s">
        <v>148</v>
      </c>
      <c r="E28" s="5" t="s">
        <v>28</v>
      </c>
      <c r="F28" s="111">
        <f>14.4*0.5</f>
        <v>7.2</v>
      </c>
      <c r="G28" s="190">
        <v>161.29</v>
      </c>
      <c r="H28" s="191"/>
      <c r="I28" s="108">
        <f>$J$6</f>
        <v>1.2328767123287672</v>
      </c>
      <c r="J28" s="109">
        <f>F28*G28*I28</f>
        <v>1431.7249315068493</v>
      </c>
      <c r="K28" s="86">
        <f>5*1*3</f>
        <v>15</v>
      </c>
      <c r="L28" s="140">
        <v>161.29</v>
      </c>
    </row>
    <row r="29" spans="1:12" ht="24.95" customHeight="1" x14ac:dyDescent="0.25">
      <c r="A29" s="192" t="s">
        <v>163</v>
      </c>
      <c r="B29" s="193"/>
      <c r="C29" s="193"/>
      <c r="D29" s="193"/>
      <c r="E29" s="193"/>
      <c r="F29" s="193"/>
      <c r="G29" s="193"/>
      <c r="H29" s="193"/>
      <c r="I29" s="193"/>
      <c r="J29" s="110">
        <f>SUM(J27:J28)</f>
        <v>3406.1720547945206</v>
      </c>
      <c r="K29" s="87"/>
      <c r="L29" s="134"/>
    </row>
    <row r="30" spans="1:12" ht="24.95" customHeight="1" x14ac:dyDescent="0.25">
      <c r="A30" s="194" t="s">
        <v>20</v>
      </c>
      <c r="B30" s="195"/>
      <c r="C30" s="195"/>
      <c r="D30" s="195"/>
      <c r="E30" s="195"/>
      <c r="F30" s="195"/>
      <c r="G30" s="195"/>
      <c r="H30" s="195"/>
      <c r="I30" s="195"/>
      <c r="J30" s="128">
        <f>J25+J29</f>
        <v>23576.035068493155</v>
      </c>
      <c r="K30" s="88"/>
      <c r="L30" s="134"/>
    </row>
    <row r="31" spans="1:12" ht="24.95" customHeight="1" thickBot="1" x14ac:dyDescent="0.3">
      <c r="A31" s="198" t="s">
        <v>29</v>
      </c>
      <c r="B31" s="199"/>
      <c r="C31" s="199"/>
      <c r="D31" s="199"/>
      <c r="E31" s="199"/>
      <c r="F31" s="199"/>
      <c r="G31" s="199"/>
      <c r="H31" s="199"/>
      <c r="I31" s="199"/>
      <c r="J31" s="130">
        <f>J19+J30</f>
        <v>1264595.3839009735</v>
      </c>
      <c r="K31" s="89"/>
      <c r="L31" s="134"/>
    </row>
    <row r="32" spans="1:12" x14ac:dyDescent="0.25">
      <c r="A32" s="81"/>
      <c r="B32" s="81"/>
      <c r="C32" s="81"/>
      <c r="D32" s="81"/>
      <c r="E32" s="81"/>
      <c r="F32" s="100"/>
      <c r="G32" s="98"/>
      <c r="H32" s="98"/>
      <c r="I32" s="98"/>
      <c r="J32" s="98"/>
      <c r="K32" s="81"/>
      <c r="L32" s="118"/>
    </row>
    <row r="33" spans="1:11" x14ac:dyDescent="0.25">
      <c r="A33" s="95"/>
    </row>
    <row r="35" spans="1:11" x14ac:dyDescent="0.25">
      <c r="J35" s="113"/>
      <c r="K35" s="96"/>
    </row>
    <row r="37" spans="1:11" x14ac:dyDescent="0.25">
      <c r="H37" s="113"/>
    </row>
  </sheetData>
  <autoFilter ref="A8:J31" xr:uid="{00000000-0009-0000-0000-000000000000}"/>
  <mergeCells count="36">
    <mergeCell ref="B5:D5"/>
    <mergeCell ref="B1:J1"/>
    <mergeCell ref="A2:J2"/>
    <mergeCell ref="A3:H3"/>
    <mergeCell ref="I3:J3"/>
    <mergeCell ref="A4:D4"/>
    <mergeCell ref="G20:H21"/>
    <mergeCell ref="G26:H26"/>
    <mergeCell ref="G27:H27"/>
    <mergeCell ref="A19:I19"/>
    <mergeCell ref="B6:D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G28:H28"/>
    <mergeCell ref="A29:I29"/>
    <mergeCell ref="A30:I30"/>
    <mergeCell ref="J8:J9"/>
    <mergeCell ref="A31:I31"/>
    <mergeCell ref="I20:I21"/>
    <mergeCell ref="J20:J21"/>
    <mergeCell ref="G22:H22"/>
    <mergeCell ref="G23:H23"/>
    <mergeCell ref="G24:H24"/>
    <mergeCell ref="A25:I25"/>
    <mergeCell ref="A20:A21"/>
    <mergeCell ref="B20:B21"/>
    <mergeCell ref="C20:C21"/>
    <mergeCell ref="D20:D21"/>
    <mergeCell ref="F20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&amp;L&amp;F&amp;C&amp;A</oddHeader>
    <oddFooter>&amp;R&amp;N</oddFooter>
  </headerFooter>
  <rowBreaks count="1" manualBreakCount="1">
    <brk id="2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19</vt:i4>
      </vt:variant>
    </vt:vector>
  </HeadingPairs>
  <TitlesOfParts>
    <vt:vector size="30" baseType="lpstr">
      <vt:lpstr>QUANTITATIVO</vt:lpstr>
      <vt:lpstr>R1 </vt:lpstr>
      <vt:lpstr>R2</vt:lpstr>
      <vt:lpstr>R3</vt:lpstr>
      <vt:lpstr>R4</vt:lpstr>
      <vt:lpstr>R5</vt:lpstr>
      <vt:lpstr>R6</vt:lpstr>
      <vt:lpstr>R7</vt:lpstr>
      <vt:lpstr>R8</vt:lpstr>
      <vt:lpstr>FATOR K TRDE</vt:lpstr>
      <vt:lpstr>CRONOGRAMA</vt:lpstr>
      <vt:lpstr>CRONOGRAMA!Area_de_impressao</vt:lpstr>
      <vt:lpstr>QUANTITATIVO!Area_de_impressao</vt:lpstr>
      <vt:lpstr>'R1 '!Area_de_impressao</vt:lpstr>
      <vt:lpstr>'R2'!Area_de_impressao</vt:lpstr>
      <vt:lpstr>'R3'!Area_de_impressao</vt:lpstr>
      <vt:lpstr>'R4'!Area_de_impressao</vt:lpstr>
      <vt:lpstr>'R5'!Area_de_impressao</vt:lpstr>
      <vt:lpstr>'R6'!Area_de_impressao</vt:lpstr>
      <vt:lpstr>'R7'!Area_de_impressao</vt:lpstr>
      <vt:lpstr>'R8'!Area_de_impressao</vt:lpstr>
      <vt:lpstr>QUANTITATIVO!Titulos_de_impressao</vt:lpstr>
      <vt:lpstr>'R1 '!Titulos_de_impressao</vt:lpstr>
      <vt:lpstr>'R2'!Titulos_de_impressao</vt:lpstr>
      <vt:lpstr>'R3'!Titulos_de_impressao</vt:lpstr>
      <vt:lpstr>'R4'!Titulos_de_impressao</vt:lpstr>
      <vt:lpstr>'R5'!Titulos_de_impressao</vt:lpstr>
      <vt:lpstr>'R6'!Titulos_de_impressao</vt:lpstr>
      <vt:lpstr>'R7'!Titulos_de_impressao</vt:lpstr>
      <vt:lpstr>'R8'!Titulos_de_impressao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Medrado</dc:creator>
  <cp:lastModifiedBy>Ana Emília Martins dos Santos</cp:lastModifiedBy>
  <cp:lastPrinted>2026-05-11T18:00:41Z</cp:lastPrinted>
  <dcterms:created xsi:type="dcterms:W3CDTF">2020-04-28T17:01:54Z</dcterms:created>
  <dcterms:modified xsi:type="dcterms:W3CDTF">2026-07-17T13:02:56Z</dcterms:modified>
</cp:coreProperties>
</file>